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192" windowHeight="8448" tabRatio="863"/>
  </bookViews>
  <sheets>
    <sheet name="Зустрічна пропозиція" sheetId="186" r:id="rId1"/>
    <sheet name="Лист2" sheetId="165" state="hidden" r:id="rId2"/>
    <sheet name="Назви" sheetId="161" state="hidden" r:id="rId3"/>
  </sheets>
  <definedNames>
    <definedName name="_xlnm._FilterDatabase" localSheetId="0" hidden="1">'Зустрічна пропозиція'!$A$29:$H$91</definedName>
    <definedName name="_xlnm.Print_Area" localSheetId="0">'Зустрічна пропозиція'!$A$1:$I$94</definedName>
  </definedNames>
  <calcPr calcId="145621"/>
</workbook>
</file>

<file path=xl/calcChain.xml><?xml version="1.0" encoding="utf-8"?>
<calcChain xmlns="http://schemas.openxmlformats.org/spreadsheetml/2006/main">
  <c r="C30" i="186" l="1"/>
  <c r="C31" i="186" s="1"/>
  <c r="C32" i="186" s="1"/>
  <c r="C33" i="186" s="1"/>
  <c r="C34" i="186" s="1"/>
  <c r="C35" i="186" s="1"/>
  <c r="C36" i="186" s="1"/>
  <c r="C37" i="186" s="1"/>
  <c r="C38" i="186" s="1"/>
  <c r="C39" i="186" s="1"/>
  <c r="C40" i="186" s="1"/>
  <c r="C41" i="186" s="1"/>
  <c r="C42" i="186" s="1"/>
  <c r="C43" i="186" s="1"/>
  <c r="C44" i="186" s="1"/>
  <c r="C45" i="186" s="1"/>
  <c r="C46" i="186" s="1"/>
  <c r="C47" i="186" s="1"/>
  <c r="C48" i="186" s="1"/>
  <c r="C49" i="186" s="1"/>
  <c r="C50" i="186" s="1"/>
  <c r="C51" i="186" s="1"/>
  <c r="C52" i="186" s="1"/>
  <c r="C53" i="186" s="1"/>
  <c r="C54" i="186" s="1"/>
  <c r="C55" i="186" s="1"/>
  <c r="C56" i="186" s="1"/>
  <c r="C57" i="186" s="1"/>
  <c r="C58" i="186" s="1"/>
  <c r="C59" i="186" s="1"/>
  <c r="C60" i="186" s="1"/>
  <c r="C61" i="186" s="1"/>
  <c r="C62" i="186" s="1"/>
  <c r="C63" i="186" s="1"/>
  <c r="C64" i="186" s="1"/>
  <c r="C65" i="186" s="1"/>
  <c r="C66" i="186" s="1"/>
  <c r="C67" i="186" s="1"/>
  <c r="C68" i="186" s="1"/>
  <c r="C69" i="186" s="1"/>
  <c r="C70" i="186" s="1"/>
  <c r="C71" i="186" s="1"/>
  <c r="C72" i="186" s="1"/>
  <c r="C73" i="186" s="1"/>
  <c r="C74" i="186" s="1"/>
  <c r="C75" i="186" s="1"/>
  <c r="C76" i="186" s="1"/>
  <c r="C77" i="186" s="1"/>
  <c r="C78" i="186" s="1"/>
  <c r="C79" i="186" s="1"/>
  <c r="C80" i="186" s="1"/>
  <c r="C81" i="186" s="1"/>
  <c r="C82" i="186" s="1"/>
  <c r="C83" i="186" s="1"/>
  <c r="C84" i="186" s="1"/>
  <c r="C85" i="186" s="1"/>
  <c r="C86" i="186" s="1"/>
  <c r="C87" i="186" s="1"/>
  <c r="C88" i="186" s="1"/>
  <c r="C89" i="186" s="1"/>
  <c r="C90" i="186" s="1"/>
  <c r="G29" i="186"/>
  <c r="F29" i="186"/>
  <c r="E29" i="186"/>
  <c r="D29" i="186"/>
  <c r="C29" i="186"/>
  <c r="B28" i="186"/>
  <c r="B26" i="186"/>
  <c r="E24" i="186"/>
  <c r="D24" i="186"/>
  <c r="C24" i="186"/>
  <c r="B24" i="186"/>
  <c r="E22" i="186"/>
  <c r="D22" i="186"/>
  <c r="C22" i="186"/>
  <c r="B22" i="186"/>
  <c r="E20" i="186"/>
  <c r="D20" i="186"/>
  <c r="C20" i="186"/>
  <c r="B20" i="186"/>
  <c r="K18" i="186"/>
  <c r="K17" i="186"/>
  <c r="K16" i="186"/>
  <c r="F17" i="186"/>
  <c r="E17" i="186"/>
  <c r="D17" i="186"/>
  <c r="C17" i="186"/>
  <c r="B17" i="186"/>
  <c r="K15" i="186"/>
  <c r="F15" i="186"/>
  <c r="E15" i="186"/>
  <c r="D15" i="186"/>
  <c r="C15" i="186"/>
  <c r="B15" i="186"/>
  <c r="K14" i="186"/>
  <c r="K13" i="186"/>
  <c r="F13" i="186"/>
  <c r="E18" i="186" s="1"/>
  <c r="F9" i="186" s="1"/>
  <c r="E13" i="186"/>
  <c r="D13" i="186"/>
  <c r="C13" i="186"/>
  <c r="B13" i="186"/>
  <c r="F11" i="186"/>
  <c r="E11" i="186"/>
  <c r="D11" i="186"/>
  <c r="C11" i="186"/>
  <c r="B11" i="186"/>
  <c r="G3" i="186"/>
  <c r="G2" i="186"/>
  <c r="F2" i="186"/>
  <c r="E2" i="186"/>
  <c r="E3" i="186" l="1"/>
  <c r="E19" i="186" l="1"/>
  <c r="E34" i="186" s="1"/>
  <c r="G30" i="186"/>
  <c r="F3" i="186"/>
  <c r="E90" i="186"/>
  <c r="E66" i="186"/>
  <c r="E50" i="186"/>
  <c r="E45" i="186"/>
  <c r="E74" i="186"/>
  <c r="E46" i="186"/>
  <c r="E80" i="186"/>
  <c r="E64" i="186"/>
  <c r="E48" i="186"/>
  <c r="E75" i="186"/>
  <c r="E59" i="186"/>
  <c r="E43" i="186"/>
  <c r="E77" i="186"/>
  <c r="E61" i="186"/>
  <c r="E44" i="186"/>
  <c r="E41" i="186"/>
  <c r="E33" i="186"/>
  <c r="E86" i="186"/>
  <c r="E78" i="186"/>
  <c r="E70" i="186"/>
  <c r="E62" i="186"/>
  <c r="E54" i="186"/>
  <c r="E42" i="186"/>
  <c r="F31" i="186"/>
  <c r="E88" i="186"/>
  <c r="E72" i="186"/>
  <c r="E56" i="186"/>
  <c r="E83" i="186"/>
  <c r="E67" i="186"/>
  <c r="E51" i="186"/>
  <c r="E35" i="186"/>
  <c r="E85" i="186"/>
  <c r="E69" i="186"/>
  <c r="E53" i="186"/>
  <c r="E36" i="186"/>
  <c r="F20" i="186"/>
  <c r="E84" i="186"/>
  <c r="E76" i="186"/>
  <c r="E68" i="186"/>
  <c r="E60" i="186"/>
  <c r="E52" i="186"/>
  <c r="E87" i="186"/>
  <c r="E79" i="186"/>
  <c r="E71" i="186"/>
  <c r="E63" i="186"/>
  <c r="E55" i="186"/>
  <c r="E47" i="186"/>
  <c r="E39" i="186"/>
  <c r="E31" i="186"/>
  <c r="E89" i="186"/>
  <c r="E81" i="186"/>
  <c r="E73" i="186"/>
  <c r="E65" i="186"/>
  <c r="E57" i="186"/>
  <c r="E49" i="186"/>
  <c r="E40" i="186"/>
  <c r="E32" i="186"/>
  <c r="E82" i="186" l="1"/>
  <c r="E38" i="186"/>
  <c r="E37" i="186"/>
  <c r="E58" i="186"/>
  <c r="D31" i="186"/>
  <c r="E91" i="186" l="1"/>
  <c r="G31" i="186"/>
  <c r="F32" i="186"/>
  <c r="D32" i="186" l="1"/>
  <c r="G32" i="186" l="1"/>
  <c r="F33" i="186"/>
  <c r="D33" i="186" l="1"/>
  <c r="G33" i="186" l="1"/>
  <c r="F34" i="186"/>
  <c r="D34" i="186" l="1"/>
  <c r="G34" i="186" l="1"/>
  <c r="F35" i="186"/>
  <c r="D35" i="186" s="1"/>
  <c r="G35" i="186" s="1"/>
  <c r="F36" i="186" l="1"/>
  <c r="D36" i="186" s="1"/>
  <c r="G36" i="186" s="1"/>
  <c r="F37" i="186" l="1"/>
  <c r="D37" i="186" s="1"/>
  <c r="G37" i="186" s="1"/>
  <c r="F38" i="186" l="1"/>
  <c r="D38" i="186" s="1"/>
  <c r="G38" i="186" s="1"/>
  <c r="F39" i="186" l="1"/>
  <c r="D39" i="186" s="1"/>
  <c r="G39" i="186" s="1"/>
  <c r="F40" i="186" l="1"/>
  <c r="D40" i="186" s="1"/>
  <c r="G40" i="186" s="1"/>
  <c r="F41" i="186" l="1"/>
  <c r="D41" i="186" s="1"/>
  <c r="G41" i="186" s="1"/>
  <c r="F42" i="186" l="1"/>
  <c r="D42" i="186" s="1"/>
  <c r="G42" i="186" s="1"/>
  <c r="F43" i="186" l="1"/>
  <c r="D43" i="186" s="1"/>
  <c r="G43" i="186" s="1"/>
  <c r="F44" i="186" l="1"/>
  <c r="D44" i="186" s="1"/>
  <c r="G44" i="186" s="1"/>
  <c r="F45" i="186" l="1"/>
  <c r="D45" i="186" s="1"/>
  <c r="G45" i="186" s="1"/>
  <c r="F46" i="186" l="1"/>
  <c r="D46" i="186" s="1"/>
  <c r="G46" i="186" s="1"/>
  <c r="F47" i="186" l="1"/>
  <c r="D47" i="186" s="1"/>
  <c r="G47" i="186" s="1"/>
  <c r="F48" i="186" l="1"/>
  <c r="D48" i="186" s="1"/>
  <c r="G48" i="186" s="1"/>
  <c r="F49" i="186" l="1"/>
  <c r="D49" i="186" s="1"/>
  <c r="G49" i="186" s="1"/>
  <c r="F50" i="186" l="1"/>
  <c r="D50" i="186" s="1"/>
  <c r="G50" i="186" s="1"/>
  <c r="F51" i="186" l="1"/>
  <c r="D51" i="186" s="1"/>
  <c r="G51" i="186" s="1"/>
  <c r="F52" i="186" l="1"/>
  <c r="D52" i="186" s="1"/>
  <c r="G52" i="186" s="1"/>
  <c r="F53" i="186" l="1"/>
  <c r="D53" i="186" s="1"/>
  <c r="G53" i="186" s="1"/>
  <c r="F54" i="186" l="1"/>
  <c r="D54" i="186" s="1"/>
  <c r="G54" i="186" s="1"/>
  <c r="F55" i="186" l="1"/>
  <c r="D55" i="186" s="1"/>
  <c r="G55" i="186" s="1"/>
  <c r="F56" i="186" l="1"/>
  <c r="D56" i="186" s="1"/>
  <c r="G56" i="186" s="1"/>
  <c r="F57" i="186" l="1"/>
  <c r="D57" i="186" s="1"/>
  <c r="G57" i="186" s="1"/>
  <c r="F58" i="186" l="1"/>
  <c r="D58" i="186" s="1"/>
  <c r="G58" i="186" s="1"/>
  <c r="F59" i="186" l="1"/>
  <c r="D59" i="186" s="1"/>
  <c r="G59" i="186" s="1"/>
  <c r="F60" i="186" l="1"/>
  <c r="D60" i="186" s="1"/>
  <c r="F61" i="186" s="1"/>
  <c r="D61" i="186" s="1"/>
  <c r="G60" i="186" l="1"/>
  <c r="G61" i="186"/>
  <c r="F62" i="186"/>
  <c r="D62" i="186" s="1"/>
  <c r="G62" i="186" l="1"/>
  <c r="F63" i="186"/>
  <c r="D63" i="186" s="1"/>
  <c r="G63" i="186" l="1"/>
  <c r="F64" i="186"/>
  <c r="D64" i="186" s="1"/>
  <c r="G64" i="186" l="1"/>
  <c r="F65" i="186"/>
  <c r="D65" i="186" s="1"/>
  <c r="G65" i="186" l="1"/>
  <c r="F66" i="186"/>
  <c r="D66" i="186" s="1"/>
  <c r="G66" i="186" l="1"/>
  <c r="F67" i="186"/>
  <c r="D67" i="186" s="1"/>
  <c r="G67" i="186" l="1"/>
  <c r="F68" i="186"/>
  <c r="D68" i="186" s="1"/>
  <c r="G68" i="186" l="1"/>
  <c r="F69" i="186"/>
  <c r="D69" i="186" s="1"/>
  <c r="G69" i="186" l="1"/>
  <c r="F70" i="186"/>
  <c r="D70" i="186" s="1"/>
  <c r="G70" i="186" l="1"/>
  <c r="F71" i="186"/>
  <c r="D71" i="186" s="1"/>
  <c r="G71" i="186" l="1"/>
  <c r="F72" i="186"/>
  <c r="D72" i="186" s="1"/>
  <c r="G72" i="186" l="1"/>
  <c r="F73" i="186"/>
  <c r="D73" i="186" s="1"/>
  <c r="G73" i="186" l="1"/>
  <c r="F74" i="186"/>
  <c r="D74" i="186" s="1"/>
  <c r="G74" i="186" l="1"/>
  <c r="F75" i="186"/>
  <c r="D75" i="186" s="1"/>
  <c r="G75" i="186" l="1"/>
  <c r="F76" i="186"/>
  <c r="D76" i="186" s="1"/>
  <c r="G76" i="186" l="1"/>
  <c r="F77" i="186"/>
  <c r="D77" i="186" s="1"/>
  <c r="G77" i="186" l="1"/>
  <c r="F78" i="186"/>
  <c r="D78" i="186" s="1"/>
  <c r="G78" i="186" l="1"/>
  <c r="F79" i="186"/>
  <c r="D79" i="186" s="1"/>
  <c r="G79" i="186" l="1"/>
  <c r="F80" i="186"/>
  <c r="D80" i="186" s="1"/>
  <c r="G80" i="186" l="1"/>
  <c r="F81" i="186"/>
  <c r="D81" i="186" s="1"/>
  <c r="G81" i="186" l="1"/>
  <c r="F82" i="186"/>
  <c r="D82" i="186" s="1"/>
  <c r="G82" i="186" l="1"/>
  <c r="F83" i="186"/>
  <c r="D83" i="186" s="1"/>
  <c r="G83" i="186" l="1"/>
  <c r="F84" i="186"/>
  <c r="D84" i="186" s="1"/>
  <c r="G84" i="186" l="1"/>
  <c r="F85" i="186"/>
  <c r="D85" i="186" s="1"/>
  <c r="G85" i="186" l="1"/>
  <c r="F86" i="186"/>
  <c r="D86" i="186" s="1"/>
  <c r="G86" i="186" l="1"/>
  <c r="F87" i="186"/>
  <c r="D87" i="186" s="1"/>
  <c r="G87" i="186" l="1"/>
  <c r="F88" i="186"/>
  <c r="D88" i="186" s="1"/>
  <c r="G88" i="186" l="1"/>
  <c r="F89" i="186"/>
  <c r="D89" i="186" s="1"/>
  <c r="G89" i="186" l="1"/>
  <c r="D90" i="186"/>
  <c r="F90" i="186"/>
  <c r="F91" i="186" s="1"/>
  <c r="G90" i="186" l="1"/>
  <c r="D91" i="186"/>
  <c r="F26" i="186" l="1"/>
  <c r="G91" i="186"/>
  <c r="F22" i="186" s="1"/>
  <c r="F24" i="186" s="1"/>
  <c r="H5" i="165" l="1"/>
  <c r="H6" i="165"/>
  <c r="H7" i="165"/>
  <c r="H8" i="165"/>
  <c r="H9" i="165"/>
  <c r="H4" i="165"/>
  <c r="G4" i="165" l="1"/>
  <c r="K4" i="165"/>
  <c r="G5" i="165"/>
  <c r="K5" i="165"/>
  <c r="G6" i="165"/>
  <c r="K6" i="165"/>
  <c r="G7" i="165"/>
  <c r="K7" i="165"/>
  <c r="G8" i="165"/>
  <c r="K8" i="165"/>
  <c r="G9" i="165"/>
  <c r="H3" i="186" s="1"/>
  <c r="K9" i="165"/>
  <c r="C21" i="161" l="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E23" i="161"/>
  <c r="F23" i="161"/>
  <c r="G23" i="161"/>
  <c r="C24" i="161"/>
  <c r="H24" i="161" s="1"/>
  <c r="D24" i="161"/>
  <c r="G24" i="161" s="1"/>
  <c r="E24" i="161"/>
  <c r="F24" i="161"/>
  <c r="G22" i="161" l="1"/>
  <c r="G21" i="161"/>
</calcChain>
</file>

<file path=xl/sharedStrings.xml><?xml version="1.0" encoding="utf-8"?>
<sst xmlns="http://schemas.openxmlformats.org/spreadsheetml/2006/main" count="59" uniqueCount="53">
  <si>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</si>
  <si>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</si>
  <si>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</si>
  <si>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</si>
  <si>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</si>
  <si>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</si>
  <si>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</si>
  <si>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</si>
  <si>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</si>
  <si>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</si>
  <si>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</si>
  <si>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</si>
  <si>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</si>
  <si>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</si>
  <si>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</si>
  <si>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</si>
  <si>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</si>
  <si>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</si>
  <si>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</si>
  <si>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</si>
  <si>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</si>
  <si>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</si>
  <si>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</si>
  <si>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</si>
  <si>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</si>
  <si>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</si>
  <si>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</si>
  <si>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</si>
  <si>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</si>
  <si>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</si>
  <si>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</si>
  <si>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</si>
  <si>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</si>
  <si>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</si>
  <si>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</si>
  <si>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</si>
  <si>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</si>
  <si>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</si>
  <si>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</si>
  <si>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</si>
  <si>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</si>
  <si>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</si>
  <si>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t>Термін, 60 міс.</t>
  </si>
  <si>
    <t>Термін, 48 міс.</t>
  </si>
  <si>
    <t>Термін, 36 міс.</t>
  </si>
  <si>
    <t>Термін, 24 міс.</t>
  </si>
  <si>
    <t>Термін, 18 міс.</t>
  </si>
  <si>
    <t>Термін, 12 міс.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</si>
  <si>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>Введіть бажану суму рефінансування</t>
    </r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</si>
  <si>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>Введіть бажану суму додаткових коштів</t>
    </r>
  </si>
  <si>
    <t>Орієнтовна загальна вартість кредиту, грн.</t>
  </si>
  <si>
    <t>Орієнтовний платіж, грн.</t>
  </si>
  <si>
    <t>Термін кредитування (міс.)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</si>
</sst>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4" formatCode="#&quot; &quot;##0_ ;\-#&quot; &quot;##0\ "/>
    <numFmt numFmtId="175" formatCode="0.0000%"/>
    <numFmt numFmtId="176" formatCode="0.000000%"/>
    <numFmt numFmtId="177" formatCode="#,##0.00&quot;₴&quot;"/>
    <numFmt numFmtId="178" formatCode="_-* #,##0.00&quot; &quot;_-;\-* #,##0.00&quot; &quot;_-;_-* &quot;-&quot;??&quot; &quot;_-;_-@_-"/>
    <numFmt numFmtId="180" formatCode="####&quot; &quot;##0.0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rgb="FFFF0000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" fillId="0" borderId="0"/>
  </cellStyleXfs>
  <cellXfs count="217">
    <xf numFmtId="0" fontId="0" fillId="0" borderId="0" xfId="0"/>
    <xf numFmtId="0" fontId="8" fillId="3" borderId="0" xfId="23" applyFont="1" applyFill="1" applyProtection="1"/>
    <xf numFmtId="0" fontId="4" fillId="3" borderId="0" xfId="23" applyFill="1" applyProtection="1"/>
    <xf numFmtId="0" fontId="0" fillId="3" borderId="0" xfId="0" applyFill="1" applyProtection="1"/>
    <xf numFmtId="0" fontId="4" fillId="0" borderId="0" xfId="23" applyProtection="1"/>
    <xf numFmtId="0" fontId="4" fillId="0" borderId="0" xfId="23" applyFill="1" applyProtection="1"/>
    <xf numFmtId="0" fontId="8" fillId="3" borderId="0" xfId="23" applyFont="1" applyFill="1" applyBorder="1" applyProtection="1"/>
    <xf numFmtId="0" fontId="7" fillId="3" borderId="0" xfId="0" applyFont="1" applyFill="1" applyBorder="1" applyAlignment="1" applyProtection="1"/>
    <xf numFmtId="1" fontId="4" fillId="3" borderId="0" xfId="23" applyNumberFormat="1" applyFill="1" applyAlignment="1" applyProtection="1">
      <alignment vertical="top" wrapText="1"/>
    </xf>
    <xf numFmtId="0" fontId="4" fillId="0" borderId="0" xfId="23" applyFont="1" applyFill="1" applyProtection="1"/>
    <xf numFmtId="10" fontId="3" fillId="0" borderId="1" xfId="23" applyNumberFormat="1" applyFont="1" applyFill="1" applyBorder="1" applyAlignment="1" applyProtection="1">
      <alignment horizontal="center"/>
    </xf>
    <xf numFmtId="10" fontId="16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Alignment="1" applyProtection="1">
      <alignment horizontal="center"/>
    </xf>
    <xf numFmtId="0" fontId="10" fillId="3" borderId="0" xfId="0" applyFont="1" applyFill="1" applyBorder="1" applyAlignment="1" applyProtection="1"/>
    <xf numFmtId="0" fontId="17" fillId="3" borderId="0" xfId="23" applyFont="1" applyFill="1" applyAlignment="1" applyProtection="1">
      <alignment horizontal="center"/>
    </xf>
    <xf numFmtId="0" fontId="8" fillId="0" borderId="0" xfId="23" applyFont="1" applyFill="1" applyProtection="1"/>
    <xf numFmtId="0" fontId="17" fillId="3" borderId="0" xfId="23" applyFont="1" applyFill="1" applyBorder="1" applyAlignment="1" applyProtection="1">
      <alignment horizontal="center"/>
    </xf>
    <xf numFmtId="169" fontId="3" fillId="0" borderId="1" xfId="23" applyNumberFormat="1" applyFont="1" applyFill="1" applyBorder="1" applyAlignment="1" applyProtection="1">
      <alignment horizontal="center"/>
    </xf>
    <xf numFmtId="169" fontId="16" fillId="0" borderId="1" xfId="23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169" fontId="3" fillId="3" borderId="0" xfId="23" applyNumberFormat="1" applyFont="1" applyFill="1" applyBorder="1" applyAlignment="1" applyProtection="1">
      <alignment horizontal="center"/>
    </xf>
    <xf numFmtId="0" fontId="19" fillId="3" borderId="0" xfId="23" applyFont="1" applyFill="1" applyProtection="1"/>
    <xf numFmtId="0" fontId="18" fillId="3" borderId="0" xfId="23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169" fontId="3" fillId="3" borderId="2" xfId="23" applyNumberFormat="1" applyFont="1" applyFill="1" applyBorder="1" applyProtection="1"/>
    <xf numFmtId="166" fontId="3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Border="1" applyAlignment="1" applyProtection="1">
      <alignment horizontal="center"/>
    </xf>
    <xf numFmtId="170" fontId="20" fillId="0" borderId="1" xfId="23" applyNumberFormat="1" applyFont="1" applyFill="1" applyBorder="1" applyAlignment="1" applyProtection="1">
      <alignment horizontal="center"/>
    </xf>
    <xf numFmtId="169" fontId="20" fillId="0" borderId="1" xfId="23" applyNumberFormat="1" applyFont="1" applyFill="1" applyBorder="1" applyAlignment="1" applyProtection="1">
      <alignment horizontal="center"/>
    </xf>
    <xf numFmtId="0" fontId="4" fillId="3" borderId="0" xfId="23" applyFont="1" applyFill="1" applyProtection="1"/>
    <xf numFmtId="0" fontId="11" fillId="3" borderId="0" xfId="0" applyFont="1" applyFill="1" applyBorder="1" applyAlignment="1" applyProtection="1"/>
    <xf numFmtId="165" fontId="12" fillId="3" borderId="0" xfId="23" applyNumberFormat="1" applyFont="1" applyFill="1" applyProtection="1"/>
    <xf numFmtId="0" fontId="12" fillId="3" borderId="0" xfId="23" applyFont="1" applyFill="1" applyBorder="1" applyProtection="1"/>
    <xf numFmtId="0" fontId="6" fillId="3" borderId="0" xfId="23" applyFont="1" applyFill="1" applyAlignment="1" applyProtection="1">
      <alignment horizontal="right"/>
    </xf>
    <xf numFmtId="10" fontId="6" fillId="3" borderId="0" xfId="23" applyNumberFormat="1" applyFont="1" applyFill="1" applyProtection="1"/>
    <xf numFmtId="0" fontId="3" fillId="3" borderId="0" xfId="23" applyFont="1" applyFill="1" applyAlignment="1" applyProtection="1">
      <alignment horizontal="right"/>
    </xf>
    <xf numFmtId="9" fontId="3" fillId="3" borderId="0" xfId="23" applyNumberFormat="1" applyFont="1" applyFill="1" applyAlignment="1" applyProtection="1">
      <alignment horizontal="left"/>
    </xf>
    <xf numFmtId="9" fontId="4" fillId="3" borderId="0" xfId="23" applyNumberFormat="1" applyFill="1" applyAlignment="1" applyProtection="1">
      <alignment horizontal="left"/>
    </xf>
    <xf numFmtId="0" fontId="0" fillId="0" borderId="0" xfId="0" applyProtection="1"/>
    <xf numFmtId="10" fontId="3" fillId="3" borderId="1" xfId="23" applyNumberFormat="1" applyFont="1" applyFill="1" applyBorder="1" applyAlignment="1" applyProtection="1">
      <alignment horizontal="center"/>
    </xf>
    <xf numFmtId="0" fontId="0" fillId="0" borderId="0" xfId="0" applyFill="1"/>
    <xf numFmtId="9" fontId="3" fillId="0" borderId="0" xfId="23" applyNumberFormat="1" applyFont="1" applyFill="1" applyAlignment="1" applyProtection="1">
      <alignment horizontal="left"/>
    </xf>
    <xf numFmtId="9" fontId="4" fillId="0" borderId="0" xfId="23" applyNumberFormat="1" applyFill="1" applyAlignment="1" applyProtection="1">
      <alignment horizontal="left"/>
    </xf>
    <xf numFmtId="0" fontId="4" fillId="0" borderId="0" xfId="23" applyFont="1" applyProtection="1"/>
    <xf numFmtId="0" fontId="16" fillId="3" borderId="0" xfId="23" applyFont="1" applyFill="1" applyBorder="1" applyAlignment="1" applyProtection="1">
      <alignment horizontal="center"/>
    </xf>
    <xf numFmtId="0" fontId="3" fillId="3" borderId="0" xfId="23" applyFont="1" applyFill="1" applyProtection="1"/>
    <xf numFmtId="0" fontId="16" fillId="3" borderId="0" xfId="23" applyFont="1" applyFill="1" applyAlignment="1" applyProtection="1">
      <alignment horizontal="center"/>
    </xf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Font="1" applyFill="1" applyBorder="1" applyAlignment="1" applyProtection="1">
      <alignment horizontal="center"/>
    </xf>
    <xf numFmtId="169" fontId="4" fillId="0" borderId="4" xfId="23" applyNumberFormat="1" applyFont="1" applyFill="1" applyBorder="1" applyAlignment="1" applyProtection="1">
      <alignment horizontal="center"/>
    </xf>
    <xf numFmtId="9" fontId="16" fillId="3" borderId="0" xfId="23" applyNumberFormat="1" applyFont="1" applyFill="1" applyAlignment="1" applyProtection="1">
      <alignment horizontal="center"/>
    </xf>
    <xf numFmtId="0" fontId="16" fillId="0" borderId="0" xfId="23" applyFont="1" applyAlignment="1" applyProtection="1">
      <alignment horizontal="center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0" borderId="0" xfId="23" applyFont="1" applyFill="1" applyProtection="1"/>
    <xf numFmtId="0" fontId="24" fillId="3" borderId="0" xfId="23" applyFont="1" applyFill="1" applyProtection="1"/>
    <xf numFmtId="0" fontId="26" fillId="0" borderId="0" xfId="23" applyFont="1" applyFill="1" applyProtection="1"/>
    <xf numFmtId="0" fontId="7" fillId="0" borderId="0" xfId="0" applyFont="1" applyFill="1" applyBorder="1" applyAlignment="1" applyProtection="1">
      <alignment horizontal="left"/>
    </xf>
    <xf numFmtId="0" fontId="26" fillId="3" borderId="0" xfId="23" applyFont="1" applyFill="1" applyProtection="1"/>
    <xf numFmtId="0" fontId="8" fillId="4" borderId="0" xfId="23" applyFont="1" applyFill="1" applyProtection="1"/>
    <xf numFmtId="0" fontId="4" fillId="4" borderId="0" xfId="23" applyFill="1" applyProtection="1"/>
    <xf numFmtId="0" fontId="3" fillId="4" borderId="0" xfId="23" applyFont="1" applyFill="1" applyProtection="1"/>
    <xf numFmtId="0" fontId="0" fillId="4" borderId="0" xfId="0" applyFill="1" applyProtection="1"/>
    <xf numFmtId="174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 applyProtection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Border="1" applyAlignment="1" applyProtection="1">
      <alignment horizontal="center" vertical="center"/>
    </xf>
    <xf numFmtId="171" fontId="3" fillId="0" borderId="1" xfId="23" applyNumberFormat="1" applyFont="1" applyFill="1" applyBorder="1" applyAlignment="1" applyProtection="1">
      <alignment horizontal="center"/>
    </xf>
    <xf numFmtId="171" fontId="16" fillId="0" borderId="1" xfId="23" applyNumberFormat="1" applyFont="1" applyFill="1" applyBorder="1" applyAlignment="1" applyProtection="1">
      <alignment horizontal="center"/>
    </xf>
    <xf numFmtId="1" fontId="15" fillId="0" borderId="6" xfId="23" applyNumberFormat="1" applyFont="1" applyFill="1" applyBorder="1" applyAlignment="1" applyProtection="1">
      <alignment horizontal="center" vertical="top" wrapText="1"/>
      <protection locked="0"/>
    </xf>
    <xf numFmtId="1" fontId="3" fillId="0" borderId="6" xfId="23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/>
    <xf numFmtId="1" fontId="4" fillId="0" borderId="0" xfId="23" applyNumberFormat="1" applyFill="1" applyAlignment="1" applyProtection="1">
      <alignment vertical="top" wrapText="1"/>
    </xf>
    <xf numFmtId="0" fontId="3" fillId="0" borderId="0" xfId="23" applyFont="1" applyFill="1" applyProtection="1"/>
    <xf numFmtId="0" fontId="16" fillId="0" borderId="0" xfId="23" applyFont="1" applyFill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10" fontId="3" fillId="0" borderId="0" xfId="23" applyNumberFormat="1" applyFont="1" applyFill="1" applyAlignment="1" applyProtection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4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" fontId="27" fillId="0" borderId="0" xfId="23" applyNumberFormat="1" applyFont="1" applyFill="1" applyAlignment="1" applyProtection="1">
      <alignment vertical="top" wrapText="1"/>
    </xf>
    <xf numFmtId="0" fontId="17" fillId="0" borderId="0" xfId="23" applyFont="1" applyFill="1" applyAlignment="1" applyProtection="1">
      <alignment horizontal="center"/>
    </xf>
    <xf numFmtId="165" fontId="27" fillId="0" borderId="0" xfId="23" applyNumberFormat="1" applyFont="1" applyFill="1" applyProtection="1"/>
    <xf numFmtId="0" fontId="17" fillId="0" borderId="0" xfId="23" applyFont="1" applyFill="1" applyBorder="1" applyAlignment="1" applyProtection="1">
      <alignment horizontal="center"/>
    </xf>
    <xf numFmtId="169" fontId="3" fillId="0" borderId="0" xfId="23" applyNumberFormat="1" applyFont="1" applyFill="1" applyBorder="1" applyAlignment="1" applyProtection="1">
      <alignment horizontal="center"/>
    </xf>
    <xf numFmtId="0" fontId="19" fillId="0" borderId="0" xfId="23" applyFont="1" applyFill="1" applyProtection="1"/>
    <xf numFmtId="0" fontId="18" fillId="0" borderId="0" xfId="23" applyFont="1" applyFill="1" applyBorder="1" applyAlignment="1" applyProtection="1">
      <alignment horizontal="center"/>
    </xf>
    <xf numFmtId="169" fontId="3" fillId="0" borderId="2" xfId="23" applyNumberFormat="1" applyFont="1" applyFill="1" applyBorder="1" applyProtection="1"/>
    <xf numFmtId="10" fontId="3" fillId="0" borderId="0" xfId="23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10" fontId="16" fillId="0" borderId="1" xfId="23" applyNumberFormat="1" applyFont="1" applyFill="1" applyBorder="1" applyAlignment="1" applyProtection="1">
      <alignment horizontal="center" vertical="center" wrapText="1"/>
    </xf>
    <xf numFmtId="165" fontId="4" fillId="0" borderId="0" xfId="23" applyNumberFormat="1" applyFont="1" applyFill="1" applyProtection="1"/>
    <xf numFmtId="0" fontId="4" fillId="0" borderId="0" xfId="23" applyFont="1" applyFill="1" applyBorder="1" applyProtection="1"/>
    <xf numFmtId="0" fontId="16" fillId="0" borderId="0" xfId="2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65" fontId="12" fillId="0" borderId="0" xfId="23" applyNumberFormat="1" applyFont="1" applyFill="1" applyProtection="1"/>
    <xf numFmtId="0" fontId="12" fillId="0" borderId="0" xfId="23" applyFont="1" applyFill="1" applyBorder="1" applyProtection="1"/>
    <xf numFmtId="165" fontId="16" fillId="0" borderId="7" xfId="23" applyNumberFormat="1" applyFont="1" applyFill="1" applyBorder="1" applyAlignment="1" applyProtection="1">
      <alignment horizontal="center" vertical="center" wrapText="1"/>
    </xf>
    <xf numFmtId="0" fontId="6" fillId="0" borderId="0" xfId="23" applyFont="1" applyFill="1" applyAlignment="1" applyProtection="1">
      <alignment horizontal="right"/>
    </xf>
    <xf numFmtId="10" fontId="6" fillId="0" borderId="0" xfId="23" applyNumberFormat="1" applyFont="1" applyFill="1" applyProtection="1"/>
    <xf numFmtId="0" fontId="3" fillId="0" borderId="0" xfId="23" applyFont="1" applyFill="1" applyAlignment="1" applyProtection="1">
      <alignment horizontal="right"/>
    </xf>
    <xf numFmtId="9" fontId="16" fillId="0" borderId="0" xfId="23" applyNumberFormat="1" applyFont="1" applyFill="1" applyAlignment="1" applyProtection="1">
      <alignment horizontal="center"/>
    </xf>
    <xf numFmtId="0" fontId="29" fillId="4" borderId="0" xfId="23" applyFont="1" applyFill="1" applyAlignment="1" applyProtection="1">
      <alignment horizontal="center"/>
    </xf>
    <xf numFmtId="10" fontId="30" fillId="3" borderId="0" xfId="23" applyNumberFormat="1" applyFont="1" applyFill="1" applyAlignment="1" applyProtection="1">
      <alignment horizontal="center"/>
    </xf>
    <xf numFmtId="0" fontId="8" fillId="3" borderId="8" xfId="23" applyFont="1" applyFill="1" applyBorder="1" applyProtection="1"/>
    <xf numFmtId="0" fontId="4" fillId="3" borderId="9" xfId="23" applyFill="1" applyBorder="1" applyProtection="1"/>
    <xf numFmtId="4" fontId="4" fillId="3" borderId="10" xfId="23" applyNumberFormat="1" applyFill="1" applyBorder="1" applyProtection="1"/>
    <xf numFmtId="0" fontId="32" fillId="3" borderId="0" xfId="0" applyFont="1" applyFill="1" applyBorder="1" applyAlignment="1" applyProtection="1"/>
    <xf numFmtId="165" fontId="16" fillId="5" borderId="7" xfId="23" applyNumberFormat="1" applyFont="1" applyFill="1" applyBorder="1" applyAlignment="1" applyProtection="1">
      <alignment horizontal="center" vertical="center" wrapText="1"/>
    </xf>
    <xf numFmtId="0" fontId="33" fillId="3" borderId="0" xfId="23" applyFont="1" applyFill="1" applyProtection="1"/>
    <xf numFmtId="0" fontId="4" fillId="7" borderId="0" xfId="23" applyFill="1" applyProtection="1"/>
    <xf numFmtId="0" fontId="4" fillId="7" borderId="0" xfId="23" applyFont="1" applyFill="1" applyProtection="1"/>
    <xf numFmtId="0" fontId="8" fillId="7" borderId="0" xfId="23" applyFont="1" applyFill="1" applyProtection="1"/>
    <xf numFmtId="0" fontId="27" fillId="4" borderId="0" xfId="23" applyFont="1" applyFill="1" applyProtection="1"/>
    <xf numFmtId="0" fontId="4" fillId="4" borderId="0" xfId="23" applyFont="1" applyFill="1" applyProtection="1"/>
    <xf numFmtId="0" fontId="31" fillId="0" borderId="0" xfId="23" applyFont="1" applyFill="1" applyProtection="1"/>
    <xf numFmtId="0" fontId="4" fillId="0" borderId="24" xfId="23" applyBorder="1" applyAlignment="1" applyProtection="1">
      <alignment horizontal="center"/>
    </xf>
    <xf numFmtId="0" fontId="4" fillId="0" borderId="20" xfId="23" applyBorder="1" applyAlignment="1" applyProtection="1">
      <alignment horizontal="center"/>
    </xf>
    <xf numFmtId="0" fontId="35" fillId="3" borderId="0" xfId="0" applyFont="1" applyFill="1" applyBorder="1" applyAlignment="1" applyProtection="1"/>
    <xf numFmtId="14" fontId="4" fillId="0" borderId="1" xfId="23" applyNumberFormat="1" applyBorder="1" applyAlignment="1" applyProtection="1">
      <alignment horizontal="center"/>
    </xf>
    <xf numFmtId="177" fontId="8" fillId="3" borderId="0" xfId="23" applyNumberFormat="1" applyFont="1" applyFill="1" applyProtection="1"/>
    <xf numFmtId="0" fontId="36" fillId="4" borderId="0" xfId="0" applyFont="1" applyFill="1" applyProtection="1"/>
    <xf numFmtId="0" fontId="16" fillId="4" borderId="0" xfId="23" applyFont="1" applyFill="1" applyAlignment="1" applyProtection="1">
      <alignment horizontal="center"/>
    </xf>
    <xf numFmtId="14" fontId="4" fillId="0" borderId="14" xfId="23" applyNumberFormat="1" applyBorder="1" applyAlignment="1" applyProtection="1">
      <alignment horizontal="center"/>
    </xf>
    <xf numFmtId="0" fontId="31" fillId="4" borderId="0" xfId="23" applyFont="1" applyFill="1" applyProtection="1"/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 applyProtection="1">
      <alignment vertical="top" wrapText="1"/>
    </xf>
    <xf numFmtId="165" fontId="27" fillId="4" borderId="0" xfId="23" applyNumberFormat="1" applyFont="1" applyFill="1" applyProtection="1"/>
    <xf numFmtId="14" fontId="37" fillId="3" borderId="0" xfId="23" applyNumberFormat="1" applyFont="1" applyFill="1" applyBorder="1" applyAlignment="1" applyProtection="1">
      <alignment horizontal="center"/>
    </xf>
    <xf numFmtId="0" fontId="0" fillId="9" borderId="1" xfId="0" applyFill="1" applyBorder="1" applyProtection="1">
      <protection hidden="1"/>
    </xf>
    <xf numFmtId="10" fontId="0" fillId="9" borderId="1" xfId="24" applyNumberFormat="1" applyFont="1" applyFill="1" applyBorder="1" applyProtection="1">
      <protection hidden="1"/>
    </xf>
    <xf numFmtId="4" fontId="2" fillId="9" borderId="1" xfId="2" applyNumberFormat="1" applyFont="1" applyFill="1" applyBorder="1" applyAlignment="1" applyProtection="1">
      <alignment horizontal="center"/>
      <protection hidden="1"/>
    </xf>
    <xf numFmtId="175" fontId="2" fillId="9" borderId="1" xfId="49" applyNumberFormat="1" applyFont="1" applyFill="1" applyBorder="1" applyAlignment="1">
      <alignment horizontal="center"/>
    </xf>
    <xf numFmtId="176" fontId="2" fillId="9" borderId="1" xfId="24" applyNumberFormat="1" applyFon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4" fontId="26" fillId="3" borderId="0" xfId="23" applyNumberFormat="1" applyFont="1" applyFill="1" applyProtection="1"/>
    <xf numFmtId="0" fontId="19" fillId="3" borderId="0" xfId="23" applyFont="1" applyFill="1" applyBorder="1" applyProtection="1"/>
    <xf numFmtId="1" fontId="3" fillId="3" borderId="0" xfId="23" applyNumberFormat="1" applyFont="1" applyFill="1" applyBorder="1" applyAlignment="1" applyProtection="1">
      <alignment horizontal="center" vertical="center"/>
    </xf>
    <xf numFmtId="166" fontId="3" fillId="0" borderId="0" xfId="23" applyNumberFormat="1" applyFont="1" applyFill="1" applyBorder="1" applyAlignment="1" applyProtection="1">
      <alignment horizontal="center"/>
    </xf>
    <xf numFmtId="10" fontId="16" fillId="0" borderId="0" xfId="23" applyNumberFormat="1" applyFont="1" applyFill="1" applyBorder="1" applyAlignment="1" applyProtection="1">
      <alignment horizontal="center"/>
    </xf>
    <xf numFmtId="0" fontId="4" fillId="0" borderId="26" xfId="23" applyBorder="1" applyAlignment="1" applyProtection="1">
      <alignment horizontal="center"/>
    </xf>
    <xf numFmtId="14" fontId="4" fillId="0" borderId="13" xfId="23" applyNumberFormat="1" applyBorder="1" applyAlignment="1" applyProtection="1">
      <alignment horizontal="center"/>
    </xf>
    <xf numFmtId="2" fontId="4" fillId="0" borderId="14" xfId="23" applyNumberFormat="1" applyBorder="1" applyAlignment="1" applyProtection="1">
      <alignment horizontal="center"/>
    </xf>
    <xf numFmtId="167" fontId="4" fillId="0" borderId="14" xfId="23" applyNumberFormat="1" applyBorder="1" applyAlignment="1" applyProtection="1">
      <alignment horizontal="center"/>
    </xf>
    <xf numFmtId="2" fontId="4" fillId="0" borderId="1" xfId="23" applyNumberFormat="1" applyBorder="1" applyAlignment="1" applyProtection="1">
      <alignment horizontal="center"/>
    </xf>
    <xf numFmtId="167" fontId="4" fillId="0" borderId="1" xfId="23" applyNumberFormat="1" applyBorder="1" applyAlignment="1" applyProtection="1">
      <alignment horizontal="center"/>
    </xf>
    <xf numFmtId="180" fontId="4" fillId="0" borderId="1" xfId="23" applyNumberFormat="1" applyBorder="1" applyAlignment="1" applyProtection="1">
      <alignment horizontal="center"/>
    </xf>
    <xf numFmtId="2" fontId="4" fillId="0" borderId="13" xfId="23" applyNumberFormat="1" applyBorder="1" applyAlignment="1" applyProtection="1">
      <alignment horizontal="center"/>
    </xf>
    <xf numFmtId="167" fontId="4" fillId="0" borderId="13" xfId="23" applyNumberFormat="1" applyBorder="1" applyAlignment="1" applyProtection="1">
      <alignment horizontal="center"/>
    </xf>
    <xf numFmtId="180" fontId="4" fillId="0" borderId="13" xfId="23" applyNumberFormat="1" applyBorder="1" applyAlignment="1" applyProtection="1">
      <alignment horizontal="center"/>
    </xf>
    <xf numFmtId="0" fontId="4" fillId="10" borderId="0" xfId="23" applyFont="1" applyFill="1" applyProtection="1"/>
    <xf numFmtId="168" fontId="9" fillId="2" borderId="6" xfId="23" applyNumberFormat="1" applyFont="1" applyFill="1" applyBorder="1" applyAlignment="1" applyProtection="1">
      <alignment horizontal="center" vertical="center"/>
    </xf>
    <xf numFmtId="1" fontId="39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7" xfId="23" applyNumberFormat="1" applyFont="1" applyFill="1" applyBorder="1" applyAlignment="1" applyProtection="1"/>
    <xf numFmtId="10" fontId="3" fillId="0" borderId="0" xfId="23" applyNumberFormat="1" applyFont="1" applyFill="1" applyBorder="1" applyAlignment="1" applyProtection="1"/>
    <xf numFmtId="1" fontId="31" fillId="0" borderId="0" xfId="23" applyNumberFormat="1" applyFont="1" applyFill="1" applyAlignment="1" applyProtection="1">
      <alignment horizontal="right"/>
    </xf>
    <xf numFmtId="0" fontId="31" fillId="0" borderId="0" xfId="23" applyFont="1" applyFill="1" applyBorder="1" applyProtection="1"/>
    <xf numFmtId="1" fontId="32" fillId="0" borderId="0" xfId="0" applyNumberFormat="1" applyFont="1" applyFill="1" applyBorder="1" applyAlignment="1" applyProtection="1"/>
    <xf numFmtId="10" fontId="34" fillId="4" borderId="0" xfId="23" applyNumberFormat="1" applyFont="1" applyFill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left"/>
    </xf>
    <xf numFmtId="0" fontId="7" fillId="2" borderId="12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7" fillId="0" borderId="11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0" fontId="13" fillId="5" borderId="21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65" fontId="16" fillId="5" borderId="23" xfId="23" applyNumberFormat="1" applyFont="1" applyFill="1" applyBorder="1" applyAlignment="1" applyProtection="1">
      <alignment horizontal="center" vertical="center" wrapText="1"/>
    </xf>
    <xf numFmtId="0" fontId="9" fillId="2" borderId="21" xfId="23" applyFont="1" applyFill="1" applyBorder="1" applyAlignment="1" applyProtection="1">
      <alignment horizontal="left" vertical="center"/>
    </xf>
    <xf numFmtId="166" fontId="4" fillId="3" borderId="0" xfId="46" applyNumberFormat="1" applyFont="1" applyFill="1" applyAlignment="1" applyProtection="1">
      <alignment horizontal="left"/>
    </xf>
    <xf numFmtId="0" fontId="3" fillId="10" borderId="5" xfId="23" applyFont="1" applyFill="1" applyBorder="1" applyAlignment="1" applyProtection="1">
      <alignment horizontal="center"/>
    </xf>
    <xf numFmtId="0" fontId="16" fillId="12" borderId="8" xfId="23" applyFont="1" applyFill="1" applyBorder="1" applyAlignment="1" applyProtection="1">
      <alignment horizontal="center" vertical="center"/>
      <protection locked="0"/>
    </xf>
    <xf numFmtId="0" fontId="16" fillId="12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Border="1" applyAlignment="1" applyProtection="1">
      <alignment horizontal="center" vertical="center" wrapText="1"/>
    </xf>
    <xf numFmtId="10" fontId="21" fillId="0" borderId="18" xfId="23" applyNumberFormat="1" applyFont="1" applyFill="1" applyBorder="1" applyAlignment="1" applyProtection="1">
      <alignment horizontal="center" vertical="center"/>
    </xf>
    <xf numFmtId="10" fontId="21" fillId="0" borderId="19" xfId="23" applyNumberFormat="1" applyFont="1" applyFill="1" applyBorder="1" applyAlignment="1" applyProtection="1">
      <alignment horizontal="center" vertical="center"/>
    </xf>
    <xf numFmtId="0" fontId="41" fillId="10" borderId="21" xfId="0" applyFont="1" applyFill="1" applyBorder="1" applyAlignment="1" applyProtection="1">
      <alignment horizontal="left" vertical="center"/>
    </xf>
    <xf numFmtId="0" fontId="38" fillId="10" borderId="22" xfId="0" applyFont="1" applyFill="1" applyBorder="1" applyAlignment="1" applyProtection="1">
      <alignment horizontal="left" vertical="center"/>
    </xf>
    <xf numFmtId="0" fontId="38" fillId="10" borderId="25" xfId="0" applyFont="1" applyFill="1" applyBorder="1" applyAlignment="1" applyProtection="1">
      <alignment horizontal="left" vertical="center"/>
    </xf>
    <xf numFmtId="10" fontId="16" fillId="0" borderId="0" xfId="23" applyNumberFormat="1" applyFont="1" applyFill="1" applyBorder="1" applyAlignment="1" applyProtection="1">
      <alignment horizontal="center"/>
    </xf>
    <xf numFmtId="4" fontId="29" fillId="3" borderId="9" xfId="23" applyNumberFormat="1" applyFont="1" applyFill="1" applyBorder="1" applyAlignment="1" applyProtection="1">
      <alignment horizontal="center"/>
    </xf>
    <xf numFmtId="4" fontId="29" fillId="3" borderId="17" xfId="23" applyNumberFormat="1" applyFont="1" applyFill="1" applyBorder="1" applyAlignment="1" applyProtection="1">
      <alignment horizontal="center"/>
    </xf>
    <xf numFmtId="0" fontId="8" fillId="0" borderId="27" xfId="23" applyFont="1" applyFill="1" applyBorder="1" applyAlignment="1" applyProtection="1">
      <alignment horizontal="center"/>
    </xf>
    <xf numFmtId="0" fontId="8" fillId="0" borderId="0" xfId="23" applyFont="1" applyFill="1" applyAlignment="1" applyProtection="1">
      <alignment horizontal="center"/>
    </xf>
    <xf numFmtId="171" fontId="16" fillId="0" borderId="0" xfId="23" applyNumberFormat="1" applyFont="1" applyFill="1" applyBorder="1" applyAlignment="1" applyProtection="1">
      <alignment horizontal="center"/>
    </xf>
    <xf numFmtId="4" fontId="16" fillId="0" borderId="1" xfId="23" applyNumberFormat="1" applyFont="1" applyBorder="1" applyAlignment="1" applyProtection="1">
      <alignment horizontal="center"/>
    </xf>
    <xf numFmtId="0" fontId="9" fillId="2" borderId="23" xfId="23" applyFont="1" applyFill="1" applyBorder="1" applyAlignment="1" applyProtection="1">
      <alignment horizontal="left" vertical="center"/>
    </xf>
    <xf numFmtId="168" fontId="9" fillId="2" borderId="21" xfId="23" applyNumberFormat="1" applyFont="1" applyFill="1" applyBorder="1" applyAlignment="1" applyProtection="1">
      <alignment horizontal="center" vertical="center"/>
    </xf>
    <xf numFmtId="168" fontId="9" fillId="2" borderId="23" xfId="23" applyNumberFormat="1" applyFont="1" applyFill="1" applyBorder="1" applyAlignment="1" applyProtection="1">
      <alignment horizontal="center" vertical="center"/>
    </xf>
    <xf numFmtId="4" fontId="16" fillId="0" borderId="13" xfId="23" applyNumberFormat="1" applyFont="1" applyBorder="1" applyAlignment="1" applyProtection="1">
      <alignment horizontal="center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165" fontId="16" fillId="0" borderId="21" xfId="23" applyNumberFormat="1" applyFont="1" applyFill="1" applyBorder="1" applyAlignment="1" applyProtection="1">
      <alignment horizontal="center" vertical="center" wrapText="1"/>
    </xf>
    <xf numFmtId="165" fontId="16" fillId="0" borderId="23" xfId="23" applyNumberFormat="1" applyFont="1" applyFill="1" applyBorder="1" applyAlignment="1" applyProtection="1">
      <alignment horizontal="center" vertical="center" wrapText="1"/>
    </xf>
    <xf numFmtId="165" fontId="16" fillId="0" borderId="20" xfId="23" applyNumberFormat="1" applyFont="1" applyFill="1" applyBorder="1" applyAlignment="1" applyProtection="1">
      <alignment horizontal="center" vertical="center" wrapText="1"/>
    </xf>
    <xf numFmtId="165" fontId="16" fillId="0" borderId="16" xfId="23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</xf>
  </cellXfs>
  <cellStyles count="52">
    <cellStyle name="Денежный 2" xfId="50"/>
    <cellStyle name="Обычный" xfId="0" builtinId="0"/>
    <cellStyle name="Обычный 17" xfId="1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51"/>
    <cellStyle name="Обычный_Nedootrumani_dohodu" xfId="23"/>
    <cellStyle name="Процентный" xfId="24" builtinId="5"/>
    <cellStyle name="Процентный 2" xfId="25"/>
    <cellStyle name="Процентный 2 10" xfId="26"/>
    <cellStyle name="Процентный 2 11" xfId="27"/>
    <cellStyle name="Процентный 2 12" xfId="28"/>
    <cellStyle name="Процентный 2 13" xfId="29"/>
    <cellStyle name="Процентный 2 14" xfId="30"/>
    <cellStyle name="Процентный 2 15" xfId="31"/>
    <cellStyle name="Процентный 2 16" xfId="32"/>
    <cellStyle name="Процентный 2 17" xfId="33"/>
    <cellStyle name="Процентный 2 18" xfId="34"/>
    <cellStyle name="Процентный 2 19" xfId="35"/>
    <cellStyle name="Процентный 2 2" xfId="36"/>
    <cellStyle name="Процентный 2 20" xfId="37"/>
    <cellStyle name="Процентный 2 21" xfId="38"/>
    <cellStyle name="Процентный 2 3" xfId="39"/>
    <cellStyle name="Процентный 2 4" xfId="40"/>
    <cellStyle name="Процентный 2 5" xfId="41"/>
    <cellStyle name="Процентный 2 6" xfId="42"/>
    <cellStyle name="Процентный 2 7" xfId="43"/>
    <cellStyle name="Процентный 2 8" xfId="44"/>
    <cellStyle name="Процентный 2 9" xfId="45"/>
    <cellStyle name="Процентный 3" xfId="46"/>
    <cellStyle name="Процентный 3 2" xfId="49"/>
    <cellStyle name="Финансовый" xfId="47" builtinId="3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AC98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181" t="s">
        <v>40</v>
      </c>
      <c r="I1" s="181"/>
    </row>
    <row r="2" spans="1:29" s="43" customFormat="1" ht="12.75" customHeight="1" x14ac:dyDescent="0.25">
      <c r="A2" s="29"/>
      <c r="B2" s="117"/>
      <c r="C2" s="117"/>
      <c r="D2" s="117"/>
      <c r="E2" s="163">
        <f>VLOOKUP('Зустрічна пропозиція'!H2,Лист2!A:N,14,FALSE)</f>
        <v>869</v>
      </c>
      <c r="F2" s="118">
        <f>VLOOKUP(H$2,Лист2!$A:$G,2,0)</f>
        <v>200000</v>
      </c>
      <c r="G2" s="134">
        <f ca="1">TODAY()</f>
        <v>44071</v>
      </c>
      <c r="H2" s="182" t="s">
        <v>42</v>
      </c>
      <c r="I2" s="183"/>
      <c r="J2" s="52"/>
      <c r="M2" s="157"/>
      <c r="N2" s="157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62">
        <f>IF(F5&lt;E2,"x",IF(F5&gt;F2,"y",F5))+F7</f>
        <v>100000</v>
      </c>
      <c r="F3" s="165" t="str">
        <f>IF(E3="x","Збільшіть суму",IF(E3="y","Зменшіть суму",""))</f>
        <v/>
      </c>
      <c r="G3" s="67">
        <f>Назви!B33</f>
        <v>30.4</v>
      </c>
      <c r="H3" s="185" t="str">
        <f>VLOOKUP(H$2,Лист2!$A:$G,7,0)</f>
        <v>max. 200000 грн.</v>
      </c>
      <c r="I3" s="186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184"/>
      <c r="G4" s="44"/>
      <c r="H4" s="144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187" t="s">
        <v>48</v>
      </c>
      <c r="C5" s="188"/>
      <c r="D5" s="188"/>
      <c r="E5" s="189"/>
      <c r="F5" s="159">
        <v>100000</v>
      </c>
      <c r="G5" s="160" t="s">
        <v>23</v>
      </c>
      <c r="H5" s="161"/>
      <c r="I5" s="3"/>
      <c r="J5" s="53"/>
      <c r="K5" s="64"/>
    </row>
    <row r="6" spans="1:29" s="5" customFormat="1" ht="7.5" customHeight="1" thickBot="1" x14ac:dyDescent="0.3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8" customHeight="1" thickBot="1" x14ac:dyDescent="0.3">
      <c r="A7" s="6"/>
      <c r="B7" s="187" t="s">
        <v>49</v>
      </c>
      <c r="C7" s="188"/>
      <c r="D7" s="188"/>
      <c r="E7" s="189"/>
      <c r="F7" s="159">
        <v>0</v>
      </c>
      <c r="G7" s="160" t="s">
        <v>23</v>
      </c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9" customHeight="1" x14ac:dyDescent="0.25">
      <c r="A8" s="6"/>
      <c r="B8" s="164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s="5" customFormat="1" ht="13.8" customHeight="1" x14ac:dyDescent="0.25">
      <c r="A9" s="6"/>
      <c r="B9" s="166" t="s">
        <v>41</v>
      </c>
      <c r="C9" s="167"/>
      <c r="D9" s="167"/>
      <c r="E9" s="168"/>
      <c r="F9" s="17">
        <f>F5+F7+E18</f>
        <v>100000</v>
      </c>
      <c r="G9" s="45"/>
      <c r="H9" s="46"/>
      <c r="I9" s="2"/>
      <c r="J9" s="54"/>
      <c r="K9" s="64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s="5" customFormat="1" ht="7.5" customHeight="1" x14ac:dyDescent="0.25">
      <c r="A10" s="6"/>
      <c r="B10" s="7"/>
      <c r="C10" s="2"/>
      <c r="D10" s="7"/>
      <c r="E10" s="2"/>
      <c r="F10" s="8"/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x14ac:dyDescent="0.25">
      <c r="A11" s="6"/>
      <c r="B11" s="166" t="str">
        <f>Назви!A3</f>
        <v>Процентна ставка, % річних</v>
      </c>
      <c r="C11" s="167">
        <f>Назви!B3</f>
        <v>0</v>
      </c>
      <c r="D11" s="167">
        <f>Назви!C3</f>
        <v>0</v>
      </c>
      <c r="E11" s="168">
        <f>Назви!D3</f>
        <v>0</v>
      </c>
      <c r="F11" s="39">
        <f>VLOOKUP(H$2,Лист2!$A:$G,4,0)</f>
        <v>0.15</v>
      </c>
      <c r="G11" s="190"/>
      <c r="H11" s="190"/>
      <c r="I11" s="3"/>
      <c r="J11" s="53"/>
      <c r="K11" s="64"/>
    </row>
    <row r="12" spans="1:29" s="5" customFormat="1" ht="6.75" customHeight="1" x14ac:dyDescent="0.25">
      <c r="A12" s="6"/>
      <c r="B12" s="7"/>
      <c r="C12" s="2"/>
      <c r="D12" s="7"/>
      <c r="E12" s="2"/>
      <c r="F12" s="106">
        <v>1.0000000000000001E-5</v>
      </c>
      <c r="G12" s="45"/>
      <c r="H12" s="46"/>
      <c r="I12" s="2"/>
      <c r="J12" s="54"/>
      <c r="K12" s="64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ht="12.6" customHeight="1" x14ac:dyDescent="0.25">
      <c r="A13" s="6"/>
      <c r="B13" s="166" t="str">
        <f>Назви!A5</f>
        <v>Разовий страховий тариф, %</v>
      </c>
      <c r="C13" s="167">
        <f>Назви!B5</f>
        <v>0</v>
      </c>
      <c r="D13" s="167">
        <f>Назви!C5</f>
        <v>0</v>
      </c>
      <c r="E13" s="168">
        <f>Назви!D5</f>
        <v>0</v>
      </c>
      <c r="F13" s="39">
        <f>VLOOKUP(H$2,Лист2!$A:$G,5,0)</f>
        <v>0.15</v>
      </c>
      <c r="G13" s="190"/>
      <c r="H13" s="190"/>
      <c r="I13" s="3"/>
      <c r="J13" s="53"/>
      <c r="K13" s="131" t="str">
        <f>Лист2!A4</f>
        <v>Термін, 60 міс.</v>
      </c>
    </row>
    <row r="14" spans="1:29" s="5" customFormat="1" ht="6.6" customHeight="1" x14ac:dyDescent="0.25">
      <c r="A14" s="6"/>
      <c r="B14" s="7"/>
      <c r="C14" s="2"/>
      <c r="D14" s="7"/>
      <c r="E14" s="2"/>
      <c r="F14" s="47"/>
      <c r="G14" s="45"/>
      <c r="H14" s="46"/>
      <c r="I14" s="2"/>
      <c r="J14" s="54"/>
      <c r="K14" s="131" t="str">
        <f>Лист2!A5</f>
        <v>Термін, 48 міс.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166" t="str">
        <f>Назви!A7</f>
        <v xml:space="preserve">Щомісячна плата за обслуговування кредитної заборгованості, % </v>
      </c>
      <c r="C15" s="167">
        <f>Назви!B7</f>
        <v>0</v>
      </c>
      <c r="D15" s="167">
        <f>Назви!C7</f>
        <v>0</v>
      </c>
      <c r="E15" s="168">
        <f>Назви!D7</f>
        <v>0</v>
      </c>
      <c r="F15" s="39">
        <f>VLOOKUP(H$2,Лист2!$A:$G,6,0)</f>
        <v>2.75E-2</v>
      </c>
      <c r="G15" s="190"/>
      <c r="H15" s="190"/>
      <c r="I15" s="3"/>
      <c r="J15" s="53"/>
      <c r="K15" s="131" t="str">
        <f>Лист2!A6</f>
        <v>Термін, 36 міс.</v>
      </c>
    </row>
    <row r="16" spans="1:29" s="5" customFormat="1" ht="6.75" customHeight="1" x14ac:dyDescent="0.25">
      <c r="A16" s="6"/>
      <c r="B16" s="7"/>
      <c r="C16" s="2"/>
      <c r="D16" s="7"/>
      <c r="E16" s="2"/>
      <c r="F16" s="12"/>
      <c r="G16" s="45"/>
      <c r="H16" s="46"/>
      <c r="I16" s="2"/>
      <c r="J16" s="54"/>
      <c r="K16" s="131" t="str">
        <f>Лист2!A7</f>
        <v>Термін, 24 міс.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x14ac:dyDescent="0.25">
      <c r="A17" s="6"/>
      <c r="B17" s="166" t="str">
        <f>Назви!A9</f>
        <v>Термін кредитування (міс.)</v>
      </c>
      <c r="C17" s="167">
        <f>Назви!B9</f>
        <v>0</v>
      </c>
      <c r="D17" s="167">
        <f>Назви!C9</f>
        <v>0</v>
      </c>
      <c r="E17" s="168">
        <f>Назви!D9</f>
        <v>0</v>
      </c>
      <c r="F17" s="63">
        <f>VLOOKUP(H$2,Лист2!$A:$G,3,0)</f>
        <v>60</v>
      </c>
      <c r="G17" s="190"/>
      <c r="H17" s="190"/>
      <c r="I17" s="3"/>
      <c r="J17" s="53"/>
      <c r="K17" s="131" t="str">
        <f>Лист2!A8</f>
        <v>Термін, 18 міс.</v>
      </c>
    </row>
    <row r="18" spans="1:29" s="15" customFormat="1" ht="7.8" customHeight="1" x14ac:dyDescent="0.25">
      <c r="A18" s="6"/>
      <c r="B18" s="13"/>
      <c r="C18" s="58"/>
      <c r="D18" s="110"/>
      <c r="E18" s="132">
        <f>F7*F13</f>
        <v>0</v>
      </c>
      <c r="F18" s="117"/>
      <c r="G18" s="112"/>
      <c r="H18" s="14"/>
      <c r="I18" s="1"/>
      <c r="J18" s="54"/>
      <c r="K18" s="131" t="str">
        <f>Лист2!A9</f>
        <v>Термін, 12 міс.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11.25" customHeight="1" x14ac:dyDescent="0.25">
      <c r="A19" s="6"/>
      <c r="B19" s="13"/>
      <c r="C19" s="58"/>
      <c r="D19" s="110"/>
      <c r="E19" s="133">
        <f>E18+E3</f>
        <v>100000</v>
      </c>
      <c r="F19" s="117"/>
      <c r="G19" s="112"/>
      <c r="H19" s="16"/>
      <c r="I19" s="1"/>
      <c r="J19" s="116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169" t="str">
        <f>Назви!A12</f>
        <v>Орієнтовний платіж, грн.</v>
      </c>
      <c r="C20" s="170">
        <f>Назви!B12</f>
        <v>0</v>
      </c>
      <c r="D20" s="170">
        <f>Назви!C12</f>
        <v>0</v>
      </c>
      <c r="E20" s="171">
        <f>Назви!D12</f>
        <v>0</v>
      </c>
      <c r="F20" s="17">
        <f>PMT(F11/12,F17,-E19)+F15*E19</f>
        <v>5128.9930086358727</v>
      </c>
      <c r="G20" s="193"/>
      <c r="H20" s="194"/>
      <c r="I20" s="123"/>
      <c r="J20" s="54"/>
      <c r="K20" s="131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19"/>
      <c r="C21" s="19"/>
      <c r="D21" s="19"/>
      <c r="E21" s="19"/>
      <c r="F21" s="20"/>
      <c r="G21" s="21"/>
      <c r="H21" s="22"/>
      <c r="I21" s="1"/>
      <c r="J21" s="55"/>
      <c r="K21" s="131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169" t="str">
        <f>Назви!A14</f>
        <v>Орієнтовні загальні витрати за кредитом, грн.</v>
      </c>
      <c r="C22" s="170">
        <f>Назви!B14</f>
        <v>0</v>
      </c>
      <c r="D22" s="170">
        <f>Назви!C14</f>
        <v>0</v>
      </c>
      <c r="E22" s="171">
        <f>Назви!D14</f>
        <v>0</v>
      </c>
      <c r="F22" s="17">
        <f>G91-E3</f>
        <v>207739.60593864869</v>
      </c>
      <c r="G22" s="195"/>
      <c r="H22" s="195"/>
      <c r="I22" s="1"/>
      <c r="J22" s="55"/>
      <c r="K22" s="13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23"/>
      <c r="C23" s="23"/>
      <c r="D23" s="23"/>
      <c r="E23" s="23"/>
      <c r="F23" s="24"/>
      <c r="G23" s="21"/>
      <c r="H23" s="22"/>
      <c r="I23" s="1"/>
      <c r="J23" s="55"/>
      <c r="K23" s="13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169" t="str">
        <f>Назви!A16</f>
        <v>Орієнтовна загальна вартість кредиту, грн.</v>
      </c>
      <c r="C24" s="170">
        <f>Назви!B16</f>
        <v>0</v>
      </c>
      <c r="D24" s="170">
        <f>Назви!C16</f>
        <v>0</v>
      </c>
      <c r="E24" s="171">
        <f>Назви!D16</f>
        <v>0</v>
      </c>
      <c r="F24" s="17">
        <f>E3+F22</f>
        <v>307739.60593864869</v>
      </c>
      <c r="G24" s="190"/>
      <c r="H24" s="190"/>
      <c r="I24" s="1"/>
      <c r="J24" s="55"/>
      <c r="K24" s="131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7.2" customHeight="1" x14ac:dyDescent="0.25">
      <c r="A25" s="6"/>
      <c r="B25" s="19"/>
      <c r="C25" s="19"/>
      <c r="D25" s="19"/>
      <c r="E25" s="19"/>
      <c r="F25" s="26"/>
      <c r="G25" s="21"/>
      <c r="H25" s="22"/>
      <c r="I25" s="1"/>
      <c r="J25" s="1"/>
      <c r="K25" s="13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s="15" customFormat="1" x14ac:dyDescent="0.25">
      <c r="A26" s="6"/>
      <c r="B26" s="169" t="str">
        <f>Назви!A18</f>
        <v>Орієнтовна реальна річна процентна ставка, %</v>
      </c>
      <c r="C26" s="170"/>
      <c r="D26" s="170"/>
      <c r="E26" s="171"/>
      <c r="F26" s="39">
        <f ca="1">XIRR(G30:G90,C30:C90)</f>
        <v>0.75989979505538918</v>
      </c>
      <c r="G26" s="143"/>
      <c r="H26" s="22"/>
      <c r="I26" s="1"/>
      <c r="J26" s="1"/>
      <c r="K26" s="131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 s="15" customFormat="1" ht="13.8" thickBot="1" x14ac:dyDescent="0.3">
      <c r="A27" s="6"/>
      <c r="B27" s="30"/>
      <c r="C27" s="19"/>
      <c r="D27" s="121"/>
      <c r="E27" s="31"/>
      <c r="F27" s="32"/>
      <c r="G27" s="22"/>
      <c r="H27" s="21"/>
      <c r="I27" s="1"/>
      <c r="J27" s="1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8" thickBot="1" x14ac:dyDescent="0.3">
      <c r="A28" s="1"/>
      <c r="B28" s="174" t="str">
        <f>Назви!A27</f>
        <v>Орієнтовний порядок повернення кредиту</v>
      </c>
      <c r="C28" s="175"/>
      <c r="D28" s="175"/>
      <c r="E28" s="175"/>
      <c r="F28" s="175"/>
      <c r="G28" s="175"/>
      <c r="H28" s="176"/>
      <c r="I28" s="3"/>
      <c r="K28" s="131"/>
    </row>
    <row r="29" spans="1:29" ht="31.2" customHeight="1" thickBot="1" x14ac:dyDescent="0.3">
      <c r="A29" s="1"/>
      <c r="B29" s="141" t="s">
        <v>39</v>
      </c>
      <c r="C29" s="141" t="str">
        <f>Назви!A28</f>
        <v>Місяць</v>
      </c>
      <c r="D29" s="111" t="str">
        <f>Назви!C28</f>
        <v>Погашення суми кредиту, грн.</v>
      </c>
      <c r="E29" s="111" t="str">
        <f>Назви!D28</f>
        <v>Розмір щомісячної плати за обслуговування кредитної заборгованості, грн.</v>
      </c>
      <c r="F29" s="111" t="str">
        <f>Назви!E28</f>
        <v>Проценти за користування кредитом, грн.</v>
      </c>
      <c r="G29" s="177" t="str">
        <f>Назви!F28</f>
        <v>Сума платежу за розрахунковий період, грн.</v>
      </c>
      <c r="H29" s="178"/>
      <c r="I29" s="3"/>
      <c r="K29" s="131"/>
    </row>
    <row r="30" spans="1:29" ht="12.6" hidden="1" customHeight="1" thickBot="1" x14ac:dyDescent="0.3">
      <c r="A30" s="1"/>
      <c r="B30" s="107">
        <v>0</v>
      </c>
      <c r="C30" s="142">
        <f ca="1">TODAY()</f>
        <v>44071</v>
      </c>
      <c r="D30" s="108"/>
      <c r="E30" s="109"/>
      <c r="F30" s="108"/>
      <c r="G30" s="191">
        <f>-1*E3</f>
        <v>-100000</v>
      </c>
      <c r="H30" s="192"/>
      <c r="I30" s="3"/>
      <c r="K30" s="131"/>
    </row>
    <row r="31" spans="1:29" x14ac:dyDescent="0.25">
      <c r="A31" s="1">
        <v>1</v>
      </c>
      <c r="B31" s="120">
        <v>1</v>
      </c>
      <c r="C31" s="126">
        <f ca="1">DATE(YEAR(C30),MONTH(C30)+1,DAY(C30))</f>
        <v>44102</v>
      </c>
      <c r="D31" s="149">
        <f>IF(B31&lt;$F$17,$F$20-E31-F31,IF(B31=$F$17,$E$19-SUM($D$30:D30),0))</f>
        <v>230.32090965839961</v>
      </c>
      <c r="E31" s="150">
        <f>IF(B31&lt;=$F$17,(E$19*(VLOOKUP($H$2,Лист2!$A:$N,12,0)-(B31-1)*VLOOKUP($H$2,Лист2!$A:$N,13,0))),0)</f>
        <v>3665.792098977473</v>
      </c>
      <c r="F31" s="150">
        <f>ROUND(E$19*F$11*30/365,2)</f>
        <v>1232.8800000000001</v>
      </c>
      <c r="G31" s="196">
        <f>SUM(D31:F31)</f>
        <v>5128.9930086358727</v>
      </c>
      <c r="H31" s="196"/>
      <c r="I31" s="3"/>
      <c r="K31" s="131"/>
    </row>
    <row r="32" spans="1:29" x14ac:dyDescent="0.25">
      <c r="A32" s="1">
        <v>2</v>
      </c>
      <c r="B32" s="119">
        <v>2</v>
      </c>
      <c r="C32" s="122">
        <f t="shared" ref="C32:C90" ca="1" si="0">DATE(YEAR(C31),MONTH(C31)+1,DAY(C31))</f>
        <v>44132</v>
      </c>
      <c r="D32" s="151">
        <f>IF(B32&lt;$F$17,$F$20-E32-F32,IF(B32=$F$17,$E$19-SUM($D$30:D31),0))</f>
        <v>268.16090965839976</v>
      </c>
      <c r="E32" s="152">
        <f>IF(B32&lt;=$F$17,(E$19*(VLOOKUP($H$2,Лист2!$A:$N,12,0)-(B32-1)*VLOOKUP($H$2,Лист2!$A:$N,13,0))),0)</f>
        <v>3630.792098977473</v>
      </c>
      <c r="F32" s="153">
        <f>ROUND((E$19-SUM(D$31:D31))*F$11*30/365,2)</f>
        <v>1230.04</v>
      </c>
      <c r="G32" s="196">
        <f t="shared" ref="G32:G90" si="1">SUM(D32:F32)</f>
        <v>5128.9930086358727</v>
      </c>
      <c r="H32" s="196"/>
      <c r="I32" s="3"/>
      <c r="K32" s="131"/>
    </row>
    <row r="33" spans="1:11" x14ac:dyDescent="0.25">
      <c r="A33" s="1">
        <v>3</v>
      </c>
      <c r="B33" s="119">
        <v>3</v>
      </c>
      <c r="C33" s="122">
        <f t="shared" ca="1" si="0"/>
        <v>44163</v>
      </c>
      <c r="D33" s="151">
        <f>IF(B33&lt;$F$17,$F$20-E33-F33,IF(B33=$F$17,$E$19-SUM($D$30:D32),0))</f>
        <v>306.47090965839971</v>
      </c>
      <c r="E33" s="152">
        <f>IF(B33&lt;=$F$17,(E$19*(VLOOKUP($H$2,Лист2!$A:$N,12,0)-(B33-1)*VLOOKUP($H$2,Лист2!$A:$N,13,0))),0)</f>
        <v>3595.792098977473</v>
      </c>
      <c r="F33" s="153">
        <f>ROUND((E$19-SUM(D$31:D32))*F$11*30/365,2)</f>
        <v>1226.73</v>
      </c>
      <c r="G33" s="196">
        <f t="shared" si="1"/>
        <v>5128.9930086358727</v>
      </c>
      <c r="H33" s="196"/>
      <c r="I33" s="3"/>
      <c r="K33" s="131"/>
    </row>
    <row r="34" spans="1:11" x14ac:dyDescent="0.25">
      <c r="A34" s="1">
        <v>4</v>
      </c>
      <c r="B34" s="119">
        <v>4</v>
      </c>
      <c r="C34" s="122">
        <f t="shared" ca="1" si="0"/>
        <v>44193</v>
      </c>
      <c r="D34" s="151">
        <f>IF(B34&lt;$F$17,$F$20-E34-F34,IF(B34=$F$17,$E$19-SUM($D$30:D33),0))</f>
        <v>345.25090965839968</v>
      </c>
      <c r="E34" s="152">
        <f>IF(B34&lt;=$F$17,(E$19*(VLOOKUP($H$2,Лист2!$A:$N,12,0)-(B34-1)*VLOOKUP($H$2,Лист2!$A:$N,13,0))),0)</f>
        <v>3560.792098977473</v>
      </c>
      <c r="F34" s="153">
        <f>ROUND((E$19-SUM(D$31:D33))*F$11*30/365,2)</f>
        <v>1222.95</v>
      </c>
      <c r="G34" s="196">
        <f t="shared" si="1"/>
        <v>5128.9930086358727</v>
      </c>
      <c r="H34" s="196"/>
      <c r="I34" s="3"/>
      <c r="K34" s="131"/>
    </row>
    <row r="35" spans="1:11" x14ac:dyDescent="0.25">
      <c r="A35" s="1">
        <v>5</v>
      </c>
      <c r="B35" s="119">
        <v>5</v>
      </c>
      <c r="C35" s="122">
        <f t="shared" ca="1" si="0"/>
        <v>44224</v>
      </c>
      <c r="D35" s="151">
        <f>IF(B35&lt;$F$17,$F$20-E35-F35,IF(B35=$F$17,$E$19-SUM($D$30:D34),0))</f>
        <v>384.50090965839922</v>
      </c>
      <c r="E35" s="152">
        <f>IF(B35&lt;=$F$17,(E$19*(VLOOKUP($H$2,Лист2!$A:$N,12,0)-(B35-1)*VLOOKUP($H$2,Лист2!$A:$N,13,0))),0)</f>
        <v>3525.7920989774734</v>
      </c>
      <c r="F35" s="153">
        <f>ROUND((E$19-SUM(D$31:D34))*F$11*30/365,2)</f>
        <v>1218.7</v>
      </c>
      <c r="G35" s="196">
        <f t="shared" si="1"/>
        <v>5128.9930086358727</v>
      </c>
      <c r="H35" s="196"/>
      <c r="I35" s="3"/>
      <c r="K35" s="131"/>
    </row>
    <row r="36" spans="1:11" x14ac:dyDescent="0.25">
      <c r="A36" s="1">
        <v>6</v>
      </c>
      <c r="B36" s="119">
        <v>6</v>
      </c>
      <c r="C36" s="122">
        <f t="shared" ca="1" si="0"/>
        <v>44255</v>
      </c>
      <c r="D36" s="151">
        <f>IF(B36&lt;$F$17,$F$20-E36-F36,IF(B36=$F$17,$E$19-SUM($D$30:D35),0))</f>
        <v>424.24090965839969</v>
      </c>
      <c r="E36" s="152">
        <f>IF(B36&lt;=$F$17,(E$19*(VLOOKUP($H$2,Лист2!$A:$N,12,0)-(B36-1)*VLOOKUP($H$2,Лист2!$A:$N,13,0))),0)</f>
        <v>3490.792098977473</v>
      </c>
      <c r="F36" s="153">
        <f>ROUND((E$19-SUM(D$31:D35))*F$11*30/365,2)</f>
        <v>1213.96</v>
      </c>
      <c r="G36" s="196">
        <f t="shared" si="1"/>
        <v>5128.9930086358727</v>
      </c>
      <c r="H36" s="196"/>
      <c r="I36" s="3"/>
      <c r="K36" s="131"/>
    </row>
    <row r="37" spans="1:11" x14ac:dyDescent="0.25">
      <c r="A37" s="1">
        <v>7</v>
      </c>
      <c r="B37" s="119">
        <v>7</v>
      </c>
      <c r="C37" s="122">
        <f t="shared" ca="1" si="0"/>
        <v>44283</v>
      </c>
      <c r="D37" s="151">
        <f>IF(B37&lt;$F$17,$F$20-E37-F37,IF(B37=$F$17,$E$19-SUM($D$30:D36),0))</f>
        <v>464.47090965839925</v>
      </c>
      <c r="E37" s="152">
        <f>IF(B37&lt;=$F$17,(E$19*(VLOOKUP($H$2,Лист2!$A:$N,12,0)-(B37-1)*VLOOKUP($H$2,Лист2!$A:$N,13,0))),0)</f>
        <v>3455.7920989774734</v>
      </c>
      <c r="F37" s="153">
        <f>ROUND((E$19-SUM(D$31:D36))*F$11*30/365,2)</f>
        <v>1208.73</v>
      </c>
      <c r="G37" s="196">
        <f t="shared" si="1"/>
        <v>5128.9930086358727</v>
      </c>
      <c r="H37" s="196"/>
      <c r="I37" s="3"/>
      <c r="K37" s="131"/>
    </row>
    <row r="38" spans="1:11" x14ac:dyDescent="0.25">
      <c r="A38" s="1">
        <v>8</v>
      </c>
      <c r="B38" s="119">
        <v>8</v>
      </c>
      <c r="C38" s="122">
        <f t="shared" ca="1" si="0"/>
        <v>44314</v>
      </c>
      <c r="D38" s="151">
        <f>IF(B38&lt;$F$17,$F$20-E38-F38,IF(B38=$F$17,$E$19-SUM($D$30:D37),0))</f>
        <v>505.20090965839972</v>
      </c>
      <c r="E38" s="152">
        <f>IF(B38&lt;=$F$17,(E$19*(VLOOKUP($H$2,Лист2!$A:$N,12,0)-(B38-1)*VLOOKUP($H$2,Лист2!$A:$N,13,0))),0)</f>
        <v>3420.792098977473</v>
      </c>
      <c r="F38" s="153">
        <f>ROUND((E$19-SUM(D$31:D37))*F$11*30/365,2)</f>
        <v>1203</v>
      </c>
      <c r="G38" s="196">
        <f t="shared" si="1"/>
        <v>5128.9930086358727</v>
      </c>
      <c r="H38" s="196"/>
      <c r="I38" s="3"/>
      <c r="K38" s="131"/>
    </row>
    <row r="39" spans="1:11" x14ac:dyDescent="0.25">
      <c r="A39" s="1">
        <v>9</v>
      </c>
      <c r="B39" s="119">
        <v>9</v>
      </c>
      <c r="C39" s="122">
        <f t="shared" ca="1" si="0"/>
        <v>44344</v>
      </c>
      <c r="D39" s="151">
        <f>IF(B39&lt;$F$17,$F$20-E39-F39,IF(B39=$F$17,$E$19-SUM($D$30:D38),0))</f>
        <v>546.43090965839929</v>
      </c>
      <c r="E39" s="152">
        <f>IF(B39&lt;=$F$17,(E$19*(VLOOKUP($H$2,Лист2!$A:$N,12,0)-(B39-1)*VLOOKUP($H$2,Лист2!$A:$N,13,0))),0)</f>
        <v>3385.7920989774734</v>
      </c>
      <c r="F39" s="153">
        <f>ROUND((E$19-SUM(D$31:D38))*F$11*30/365,2)</f>
        <v>1196.77</v>
      </c>
      <c r="G39" s="196">
        <f t="shared" si="1"/>
        <v>5128.9930086358727</v>
      </c>
      <c r="H39" s="196"/>
      <c r="I39" s="3"/>
      <c r="K39" s="131"/>
    </row>
    <row r="40" spans="1:11" x14ac:dyDescent="0.25">
      <c r="A40" s="1">
        <v>10</v>
      </c>
      <c r="B40" s="119">
        <v>10</v>
      </c>
      <c r="C40" s="122">
        <f t="shared" ca="1" si="0"/>
        <v>44375</v>
      </c>
      <c r="D40" s="151">
        <f>IF(B40&lt;$F$17,$F$20-E40-F40,IF(B40=$F$17,$E$19-SUM($D$30:D39),0))</f>
        <v>588.17090965839975</v>
      </c>
      <c r="E40" s="152">
        <f>IF(B40&lt;=$F$17,(E$19*(VLOOKUP($H$2,Лист2!$A:$N,12,0)-(B40-1)*VLOOKUP($H$2,Лист2!$A:$N,13,0))),0)</f>
        <v>3350.792098977473</v>
      </c>
      <c r="F40" s="153">
        <f>ROUND((E$19-SUM(D$31:D39))*F$11*30/365,2)</f>
        <v>1190.03</v>
      </c>
      <c r="G40" s="196">
        <f t="shared" si="1"/>
        <v>5128.9930086358727</v>
      </c>
      <c r="H40" s="196"/>
      <c r="I40" s="3"/>
      <c r="K40" s="131"/>
    </row>
    <row r="41" spans="1:11" x14ac:dyDescent="0.25">
      <c r="A41" s="1">
        <v>22</v>
      </c>
      <c r="B41" s="119">
        <v>11</v>
      </c>
      <c r="C41" s="122">
        <f t="shared" ca="1" si="0"/>
        <v>44405</v>
      </c>
      <c r="D41" s="151">
        <f>IF(B41&lt;$F$17,$F$20-E41-F41,IF(B41=$F$17,$E$19-SUM($D$30:D40),0))</f>
        <v>630.42090965839975</v>
      </c>
      <c r="E41" s="152">
        <f>IF(B41&lt;=$F$17,(E$19*(VLOOKUP($H$2,Лист2!$A:$N,12,0)-(B41-1)*VLOOKUP($H$2,Лист2!$A:$N,13,0))),0)</f>
        <v>3315.792098977473</v>
      </c>
      <c r="F41" s="153">
        <f>ROUND((E$19-SUM(D$31:D40))*F$11*30/365,2)</f>
        <v>1182.78</v>
      </c>
      <c r="G41" s="196">
        <f t="shared" si="1"/>
        <v>5128.9930086358727</v>
      </c>
      <c r="H41" s="196"/>
      <c r="I41" s="3"/>
      <c r="K41" s="131"/>
    </row>
    <row r="42" spans="1:11" x14ac:dyDescent="0.25">
      <c r="A42" s="1">
        <v>22</v>
      </c>
      <c r="B42" s="119">
        <v>12</v>
      </c>
      <c r="C42" s="122">
        <f t="shared" ca="1" si="0"/>
        <v>44436</v>
      </c>
      <c r="D42" s="151">
        <f>IF(B42&lt;$F$17,$F$20-E42-F42,IF(B42=$F$17,$E$19-SUM($D$30:D41),0))</f>
        <v>673.19090965839973</v>
      </c>
      <c r="E42" s="152">
        <f>IF(B42&lt;=$F$17,(E$19*(VLOOKUP($H$2,Лист2!$A:$N,12,0)-(B42-1)*VLOOKUP($H$2,Лист2!$A:$N,13,0))),0)</f>
        <v>3280.792098977473</v>
      </c>
      <c r="F42" s="153">
        <f>ROUND((E$19-SUM(D$31:D41))*F$11*30/365,2)</f>
        <v>1175.01</v>
      </c>
      <c r="G42" s="196">
        <f t="shared" si="1"/>
        <v>5128.9930086358727</v>
      </c>
      <c r="H42" s="196"/>
      <c r="I42" s="3"/>
      <c r="K42" s="131"/>
    </row>
    <row r="43" spans="1:11" x14ac:dyDescent="0.25">
      <c r="A43" s="1">
        <v>13</v>
      </c>
      <c r="B43" s="119">
        <v>13</v>
      </c>
      <c r="C43" s="122">
        <f t="shared" ca="1" si="0"/>
        <v>44467</v>
      </c>
      <c r="D43" s="151">
        <f>IF(B43&lt;$F$17,$F$20-E43-F43,IF(B43=$F$17,$E$19-SUM($D$30:D42),0))</f>
        <v>716.49090965839969</v>
      </c>
      <c r="E43" s="152">
        <f>IF(B43&lt;=$F$17,(E$19*(VLOOKUP($H$2,Лист2!$A:$N,12,0)-(B43-1)*VLOOKUP($H$2,Лист2!$A:$N,13,0))),0)</f>
        <v>3245.792098977473</v>
      </c>
      <c r="F43" s="153">
        <f>ROUND((E$19-SUM(D$31:D42))*F$11*30/365,2)</f>
        <v>1166.71</v>
      </c>
      <c r="G43" s="196">
        <f t="shared" si="1"/>
        <v>5128.9930086358727</v>
      </c>
      <c r="H43" s="196"/>
      <c r="I43" s="3"/>
      <c r="K43" s="131"/>
    </row>
    <row r="44" spans="1:11" x14ac:dyDescent="0.25">
      <c r="A44" s="1">
        <v>14</v>
      </c>
      <c r="B44" s="119">
        <v>14</v>
      </c>
      <c r="C44" s="122">
        <f t="shared" ca="1" si="0"/>
        <v>44497</v>
      </c>
      <c r="D44" s="151">
        <f>IF(B44&lt;$F$17,$F$20-E44-F44,IF(B44=$F$17,$E$19-SUM($D$30:D43),0))</f>
        <v>760.32090965839916</v>
      </c>
      <c r="E44" s="152">
        <f>IF(B44&lt;=$F$17,(E$19*(VLOOKUP($H$2,Лист2!$A:$N,12,0)-(B44-1)*VLOOKUP($H$2,Лист2!$A:$N,13,0))),0)</f>
        <v>3210.7920989774734</v>
      </c>
      <c r="F44" s="153">
        <f>ROUND((E$19-SUM(D$31:D43))*F$11*30/365,2)</f>
        <v>1157.8800000000001</v>
      </c>
      <c r="G44" s="196">
        <f t="shared" si="1"/>
        <v>5128.9930086358727</v>
      </c>
      <c r="H44" s="196"/>
      <c r="I44" s="3"/>
      <c r="K44" s="131"/>
    </row>
    <row r="45" spans="1:11" x14ac:dyDescent="0.25">
      <c r="A45" s="1">
        <v>15</v>
      </c>
      <c r="B45" s="119">
        <v>15</v>
      </c>
      <c r="C45" s="122">
        <f t="shared" ca="1" si="0"/>
        <v>44528</v>
      </c>
      <c r="D45" s="151">
        <f>IF(B45&lt;$F$17,$F$20-E45-F45,IF(B45=$F$17,$E$19-SUM($D$30:D44),0))</f>
        <v>804.70090965839972</v>
      </c>
      <c r="E45" s="152">
        <f>IF(B45&lt;=$F$17,(E$19*(VLOOKUP($H$2,Лист2!$A:$N,12,0)-(B45-1)*VLOOKUP($H$2,Лист2!$A:$N,13,0))),0)</f>
        <v>3175.792098977473</v>
      </c>
      <c r="F45" s="153">
        <f>ROUND((E$19-SUM(D$31:D44))*F$11*30/365,2)</f>
        <v>1148.5</v>
      </c>
      <c r="G45" s="196">
        <f t="shared" si="1"/>
        <v>5128.9930086358727</v>
      </c>
      <c r="H45" s="196"/>
      <c r="I45" s="3"/>
      <c r="K45" s="131"/>
    </row>
    <row r="46" spans="1:11" x14ac:dyDescent="0.25">
      <c r="A46" s="1">
        <v>16</v>
      </c>
      <c r="B46" s="119">
        <v>16</v>
      </c>
      <c r="C46" s="122">
        <f t="shared" ca="1" si="0"/>
        <v>44558</v>
      </c>
      <c r="D46" s="151">
        <f>IF(B46&lt;$F$17,$F$20-E46-F46,IF(B46=$F$17,$E$19-SUM($D$30:D45),0))</f>
        <v>849.62090965839934</v>
      </c>
      <c r="E46" s="152">
        <f>IF(B46&lt;=$F$17,(E$19*(VLOOKUP($H$2,Лист2!$A:$N,12,0)-(B46-1)*VLOOKUP($H$2,Лист2!$A:$N,13,0))),0)</f>
        <v>3140.7920989774734</v>
      </c>
      <c r="F46" s="153">
        <f>ROUND((E$19-SUM(D$31:D45))*F$11*30/365,2)</f>
        <v>1138.58</v>
      </c>
      <c r="G46" s="196">
        <f t="shared" si="1"/>
        <v>5128.9930086358727</v>
      </c>
      <c r="H46" s="196"/>
      <c r="I46" s="3"/>
      <c r="K46" s="131"/>
    </row>
    <row r="47" spans="1:11" x14ac:dyDescent="0.25">
      <c r="A47" s="1">
        <v>22</v>
      </c>
      <c r="B47" s="119">
        <v>17</v>
      </c>
      <c r="C47" s="122">
        <f t="shared" ca="1" si="0"/>
        <v>44589</v>
      </c>
      <c r="D47" s="151">
        <f>IF(B47&lt;$F$17,$F$20-E47-F47,IF(B47=$F$17,$E$19-SUM($D$30:D46),0))</f>
        <v>895.09090965839982</v>
      </c>
      <c r="E47" s="152">
        <f>IF(B47&lt;=$F$17,(E$19*(VLOOKUP($H$2,Лист2!$A:$N,12,0)-(B47-1)*VLOOKUP($H$2,Лист2!$A:$N,13,0))),0)</f>
        <v>3105.792098977473</v>
      </c>
      <c r="F47" s="153">
        <f>ROUND((E$19-SUM(D$31:D46))*F$11*30/365,2)</f>
        <v>1128.1099999999999</v>
      </c>
      <c r="G47" s="196">
        <f t="shared" si="1"/>
        <v>5128.9930086358727</v>
      </c>
      <c r="H47" s="196"/>
      <c r="I47" s="3"/>
      <c r="K47" s="131"/>
    </row>
    <row r="48" spans="1:11" x14ac:dyDescent="0.25">
      <c r="A48" s="1">
        <v>22</v>
      </c>
      <c r="B48" s="119">
        <v>18</v>
      </c>
      <c r="C48" s="122">
        <f t="shared" ca="1" si="0"/>
        <v>44620</v>
      </c>
      <c r="D48" s="151">
        <f>IF(B48&lt;$F$17,$F$20-E48-F48,IF(B48=$F$17,$E$19-SUM($D$30:D47),0))</f>
        <v>941.13090965839979</v>
      </c>
      <c r="E48" s="152">
        <f>IF(B48&lt;=$F$17,(E$19*(VLOOKUP($H$2,Лист2!$A:$N,12,0)-(B48-1)*VLOOKUP($H$2,Лист2!$A:$N,13,0))),0)</f>
        <v>3070.792098977473</v>
      </c>
      <c r="F48" s="153">
        <f>ROUND((E$19-SUM(D$31:D47))*F$11*30/365,2)</f>
        <v>1117.07</v>
      </c>
      <c r="G48" s="196">
        <f t="shared" si="1"/>
        <v>5128.9930086358727</v>
      </c>
      <c r="H48" s="196"/>
      <c r="I48" s="3"/>
      <c r="K48" s="131"/>
    </row>
    <row r="49" spans="1:11" x14ac:dyDescent="0.25">
      <c r="A49" s="1">
        <v>19</v>
      </c>
      <c r="B49" s="119">
        <v>19</v>
      </c>
      <c r="C49" s="122">
        <f t="shared" ca="1" si="0"/>
        <v>44648</v>
      </c>
      <c r="D49" s="151">
        <f>IF(B49&lt;$F$17,$F$20-E49-F49,IF(B49=$F$17,$E$19-SUM($D$30:D48),0))</f>
        <v>987.7309096583997</v>
      </c>
      <c r="E49" s="152">
        <f>IF(B49&lt;=$F$17,(E$19*(VLOOKUP($H$2,Лист2!$A:$N,12,0)-(B49-1)*VLOOKUP($H$2,Лист2!$A:$N,13,0))),0)</f>
        <v>3035.792098977473</v>
      </c>
      <c r="F49" s="153">
        <f>ROUND((E$19-SUM(D$31:D48))*F$11*30/365,2)</f>
        <v>1105.47</v>
      </c>
      <c r="G49" s="196">
        <f t="shared" si="1"/>
        <v>5128.9930086358727</v>
      </c>
      <c r="H49" s="196"/>
      <c r="I49" s="3"/>
      <c r="K49" s="131"/>
    </row>
    <row r="50" spans="1:11" x14ac:dyDescent="0.25">
      <c r="A50" s="1">
        <v>20</v>
      </c>
      <c r="B50" s="119">
        <v>20</v>
      </c>
      <c r="C50" s="122">
        <f t="shared" ca="1" si="0"/>
        <v>44679</v>
      </c>
      <c r="D50" s="151">
        <f>IF(B50&lt;$F$17,$F$20-E50-F50,IF(B50=$F$17,$E$19-SUM($D$30:D49),0))</f>
        <v>1034.9109096583998</v>
      </c>
      <c r="E50" s="152">
        <f>IF(B50&lt;=$F$17,(E$19*(VLOOKUP($H$2,Лист2!$A:$N,12,0)-(B50-1)*VLOOKUP($H$2,Лист2!$A:$N,13,0))),0)</f>
        <v>3000.792098977473</v>
      </c>
      <c r="F50" s="153">
        <f>ROUND((E$19-SUM(D$31:D49))*F$11*30/365,2)</f>
        <v>1093.29</v>
      </c>
      <c r="G50" s="196">
        <f t="shared" si="1"/>
        <v>5128.9930086358727</v>
      </c>
      <c r="H50" s="196"/>
      <c r="I50" s="3"/>
      <c r="K50" s="131"/>
    </row>
    <row r="51" spans="1:11" x14ac:dyDescent="0.25">
      <c r="A51" s="59">
        <v>21</v>
      </c>
      <c r="B51" s="119">
        <v>21</v>
      </c>
      <c r="C51" s="122">
        <f t="shared" ca="1" si="0"/>
        <v>44709</v>
      </c>
      <c r="D51" s="151">
        <f>IF(B51&lt;$F$17,$F$20-E51-F51,IF(B51=$F$17,$E$19-SUM($D$30:D50),0))</f>
        <v>1082.6709096583998</v>
      </c>
      <c r="E51" s="152">
        <f>IF(B51&lt;=$F$17,(E$19*(VLOOKUP($H$2,Лист2!$A:$N,12,0)-(B51-1)*VLOOKUP($H$2,Лист2!$A:$N,13,0))),0)</f>
        <v>2965.792098977473</v>
      </c>
      <c r="F51" s="153">
        <f>ROUND((E$19-SUM(D$31:D50))*F$11*30/365,2)</f>
        <v>1080.53</v>
      </c>
      <c r="G51" s="196">
        <f t="shared" si="1"/>
        <v>5128.9930086358727</v>
      </c>
      <c r="H51" s="196"/>
      <c r="I51" s="3"/>
      <c r="K51" s="131"/>
    </row>
    <row r="52" spans="1:11" x14ac:dyDescent="0.25">
      <c r="A52" s="59">
        <v>22</v>
      </c>
      <c r="B52" s="119">
        <v>22</v>
      </c>
      <c r="C52" s="122">
        <f t="shared" ca="1" si="0"/>
        <v>44740</v>
      </c>
      <c r="D52" s="151">
        <f>IF(B52&lt;$F$17,$F$20-E52-F52,IF(B52=$F$17,$E$19-SUM($D$30:D51),0))</f>
        <v>1131.0209096583992</v>
      </c>
      <c r="E52" s="152">
        <f>IF(B52&lt;=$F$17,(E$19*(VLOOKUP($H$2,Лист2!$A:$N,12,0)-(B52-1)*VLOOKUP($H$2,Лист2!$A:$N,13,0))),0)</f>
        <v>2930.7920989774734</v>
      </c>
      <c r="F52" s="153">
        <f>ROUND((E$19-SUM(D$31:D51))*F$11*30/365,2)</f>
        <v>1067.18</v>
      </c>
      <c r="G52" s="196">
        <f t="shared" si="1"/>
        <v>5128.9930086358727</v>
      </c>
      <c r="H52" s="196"/>
      <c r="I52" s="3"/>
    </row>
    <row r="53" spans="1:11" x14ac:dyDescent="0.25">
      <c r="A53" s="59">
        <v>25</v>
      </c>
      <c r="B53" s="119">
        <v>23</v>
      </c>
      <c r="C53" s="122">
        <f t="shared" ca="1" si="0"/>
        <v>44770</v>
      </c>
      <c r="D53" s="151">
        <f>IF(B53&lt;$F$17,$F$20-E53-F53,IF(B53=$F$17,$E$19-SUM($D$30:D52),0))</f>
        <v>1179.9609096583993</v>
      </c>
      <c r="E53" s="152">
        <f>IF(B53&lt;=$F$17,(E$19*(VLOOKUP($H$2,Лист2!$A:$N,12,0)-(B53-1)*VLOOKUP($H$2,Лист2!$A:$N,13,0))),0)</f>
        <v>2895.7920989774734</v>
      </c>
      <c r="F53" s="153">
        <f>ROUND((E$19-SUM(D$31:D52))*F$11*30/365,2)</f>
        <v>1053.24</v>
      </c>
      <c r="G53" s="196">
        <f t="shared" si="1"/>
        <v>5128.9930086358727</v>
      </c>
      <c r="H53" s="196"/>
      <c r="I53" s="3"/>
    </row>
    <row r="54" spans="1:11" x14ac:dyDescent="0.25">
      <c r="A54" s="59"/>
      <c r="B54" s="119">
        <v>24</v>
      </c>
      <c r="C54" s="122">
        <f t="shared" ca="1" si="0"/>
        <v>44801</v>
      </c>
      <c r="D54" s="151">
        <f>IF(B54&lt;$F$17,$F$20-E54-F54,IF(B54=$F$17,$E$19-SUM($D$30:D53),0))</f>
        <v>1229.5109096583997</v>
      </c>
      <c r="E54" s="152">
        <f>IF(B54&lt;=$F$17,(E$19*(VLOOKUP($H$2,Лист2!$A:$N,12,0)-(B54-1)*VLOOKUP($H$2,Лист2!$A:$N,13,0))),0)</f>
        <v>2860.792098977473</v>
      </c>
      <c r="F54" s="153">
        <f>ROUND((E$19-SUM(D$31:D53))*F$11*30/365,2)</f>
        <v>1038.69</v>
      </c>
      <c r="G54" s="196">
        <f t="shared" si="1"/>
        <v>5128.9930086358727</v>
      </c>
      <c r="H54" s="196"/>
      <c r="I54" s="3"/>
    </row>
    <row r="55" spans="1:11" x14ac:dyDescent="0.25">
      <c r="A55" s="59"/>
      <c r="B55" s="119">
        <v>25</v>
      </c>
      <c r="C55" s="122">
        <f t="shared" ca="1" si="0"/>
        <v>44832</v>
      </c>
      <c r="D55" s="151">
        <f>IF(B55&lt;$F$17,$F$20-E55-F55,IF(B55=$F$17,$E$19-SUM($D$30:D54),0))</f>
        <v>1279.6709096583993</v>
      </c>
      <c r="E55" s="152">
        <f>IF(B55&lt;=$F$17,(E$19*(VLOOKUP($H$2,Лист2!$A:$N,12,0)-(B55-1)*VLOOKUP($H$2,Лист2!$A:$N,13,0))),0)</f>
        <v>2825.7920989774734</v>
      </c>
      <c r="F55" s="153">
        <f>ROUND((E$19-SUM(D$31:D54))*F$11*30/365,2)</f>
        <v>1023.53</v>
      </c>
      <c r="G55" s="196">
        <f t="shared" si="1"/>
        <v>5128.9930086358727</v>
      </c>
      <c r="H55" s="196"/>
      <c r="I55" s="3"/>
    </row>
    <row r="56" spans="1:11" x14ac:dyDescent="0.25">
      <c r="A56" s="59"/>
      <c r="B56" s="119">
        <v>26</v>
      </c>
      <c r="C56" s="122">
        <f t="shared" ca="1" si="0"/>
        <v>44862</v>
      </c>
      <c r="D56" s="151">
        <f>IF(B56&lt;$F$17,$F$20-E56-F56,IF(B56=$F$17,$E$19-SUM($D$30:D55),0))</f>
        <v>1330.4409096583997</v>
      </c>
      <c r="E56" s="152">
        <f>IF(B56&lt;=$F$17,(E$19*(VLOOKUP($H$2,Лист2!$A:$N,12,0)-(B56-1)*VLOOKUP($H$2,Лист2!$A:$N,13,0))),0)</f>
        <v>2790.792098977473</v>
      </c>
      <c r="F56" s="153">
        <f>ROUND((E$19-SUM(D$31:D55))*F$11*30/365,2)</f>
        <v>1007.76</v>
      </c>
      <c r="G56" s="196">
        <f t="shared" si="1"/>
        <v>5128.9930086358727</v>
      </c>
      <c r="H56" s="196"/>
      <c r="I56" s="3"/>
    </row>
    <row r="57" spans="1:11" x14ac:dyDescent="0.25">
      <c r="A57" s="59"/>
      <c r="B57" s="119">
        <v>27</v>
      </c>
      <c r="C57" s="122">
        <f t="shared" ca="1" si="0"/>
        <v>44893</v>
      </c>
      <c r="D57" s="151">
        <f>IF(B57&lt;$F$17,$F$20-E57-F57,IF(B57=$F$17,$E$19-SUM($D$30:D56),0))</f>
        <v>1381.8509096583998</v>
      </c>
      <c r="E57" s="152">
        <f>IF(B57&lt;=$F$17,(E$19*(VLOOKUP($H$2,Лист2!$A:$N,12,0)-(B57-1)*VLOOKUP($H$2,Лист2!$A:$N,13,0))),0)</f>
        <v>2755.792098977473</v>
      </c>
      <c r="F57" s="153">
        <f>ROUND((E$19-SUM(D$31:D56))*F$11*30/365,2)</f>
        <v>991.35</v>
      </c>
      <c r="G57" s="196">
        <f t="shared" si="1"/>
        <v>5128.9930086358727</v>
      </c>
      <c r="H57" s="196"/>
      <c r="I57" s="3"/>
    </row>
    <row r="58" spans="1:11" x14ac:dyDescent="0.25">
      <c r="A58" s="59"/>
      <c r="B58" s="119">
        <v>28</v>
      </c>
      <c r="C58" s="122">
        <f t="shared" ca="1" si="0"/>
        <v>44923</v>
      </c>
      <c r="D58" s="151">
        <f>IF(B58&lt;$F$17,$F$20-E58-F58,IF(B58=$F$17,$E$19-SUM($D$30:D57),0))</f>
        <v>1433.8809096583996</v>
      </c>
      <c r="E58" s="152">
        <f>IF(B58&lt;=$F$17,(E$19*(VLOOKUP($H$2,Лист2!$A:$N,12,0)-(B58-1)*VLOOKUP($H$2,Лист2!$A:$N,13,0))),0)</f>
        <v>2720.792098977473</v>
      </c>
      <c r="F58" s="153">
        <f>ROUND((E$19-SUM(D$31:D57))*F$11*30/365,2)</f>
        <v>974.32</v>
      </c>
      <c r="G58" s="196">
        <f t="shared" si="1"/>
        <v>5128.9930086358727</v>
      </c>
      <c r="H58" s="196"/>
      <c r="I58" s="3"/>
    </row>
    <row r="59" spans="1:11" x14ac:dyDescent="0.25">
      <c r="A59" s="59"/>
      <c r="B59" s="119">
        <v>29</v>
      </c>
      <c r="C59" s="122">
        <f t="shared" ca="1" si="0"/>
        <v>44954</v>
      </c>
      <c r="D59" s="151">
        <f>IF(B59&lt;$F$17,$F$20-E59-F59,IF(B59=$F$17,$E$19-SUM($D$30:D58),0))</f>
        <v>1486.5609096583999</v>
      </c>
      <c r="E59" s="152">
        <f>IF(B59&lt;=$F$17,(E$19*(VLOOKUP($H$2,Лист2!$A:$N,12,0)-(B59-1)*VLOOKUP($H$2,Лист2!$A:$N,13,0))),0)</f>
        <v>2685.792098977473</v>
      </c>
      <c r="F59" s="153">
        <f>ROUND((E$19-SUM(D$31:D58))*F$11*30/365,2)</f>
        <v>956.64</v>
      </c>
      <c r="G59" s="196">
        <f t="shared" si="1"/>
        <v>5128.9930086358736</v>
      </c>
      <c r="H59" s="196"/>
      <c r="I59" s="3"/>
    </row>
    <row r="60" spans="1:11" x14ac:dyDescent="0.25">
      <c r="A60" s="59">
        <v>25</v>
      </c>
      <c r="B60" s="119">
        <v>30</v>
      </c>
      <c r="C60" s="122">
        <f t="shared" ca="1" si="0"/>
        <v>44985</v>
      </c>
      <c r="D60" s="151">
        <f>IF(B60&lt;$F$17,$F$20-E60-F60,IF(B60=$F$17,$E$19-SUM($D$30:D59),0))</f>
        <v>1539.8909096583998</v>
      </c>
      <c r="E60" s="152">
        <f>IF(B60&lt;=$F$17,(E$19*(VLOOKUP($H$2,Лист2!$A:$N,12,0)-(B60-1)*VLOOKUP($H$2,Лист2!$A:$N,13,0))),0)</f>
        <v>2650.792098977473</v>
      </c>
      <c r="F60" s="153">
        <f>ROUND((E$19-SUM(D$31:D59))*F$11*30/365,2)</f>
        <v>938.31</v>
      </c>
      <c r="G60" s="196">
        <f t="shared" si="1"/>
        <v>5128.9930086358727</v>
      </c>
      <c r="H60" s="196"/>
      <c r="I60" s="124"/>
      <c r="J60" s="124"/>
    </row>
    <row r="61" spans="1:11" x14ac:dyDescent="0.25">
      <c r="A61" s="59"/>
      <c r="B61" s="119">
        <v>31</v>
      </c>
      <c r="C61" s="122">
        <f t="shared" ca="1" si="0"/>
        <v>45013</v>
      </c>
      <c r="D61" s="151">
        <f>IF(B61&lt;$F$17,$F$20-E61-F61,IF(B61=$F$17,$E$19-SUM($D$30:D60),0))</f>
        <v>1593.8709096583998</v>
      </c>
      <c r="E61" s="152">
        <f>IF(B61&lt;=$F$17,(E$19*(VLOOKUP($H$2,Лист2!$A:$N,12,0)-(B61-1)*VLOOKUP($H$2,Лист2!$A:$N,13,0))),0)</f>
        <v>2615.792098977473</v>
      </c>
      <c r="F61" s="153">
        <f>ROUND((E$19-SUM(D$31:D60))*F$11*30/365,2)</f>
        <v>919.33</v>
      </c>
      <c r="G61" s="196">
        <f t="shared" si="1"/>
        <v>5128.9930086358727</v>
      </c>
      <c r="H61" s="196"/>
      <c r="I61" s="124"/>
      <c r="J61" s="124"/>
    </row>
    <row r="62" spans="1:11" x14ac:dyDescent="0.25">
      <c r="A62" s="59"/>
      <c r="B62" s="119">
        <v>32</v>
      </c>
      <c r="C62" s="122">
        <f t="shared" ca="1" si="0"/>
        <v>45044</v>
      </c>
      <c r="D62" s="151">
        <f>IF(B62&lt;$F$17,$F$20-E62-F62,IF(B62=$F$17,$E$19-SUM($D$30:D61),0))</f>
        <v>1648.5209096583994</v>
      </c>
      <c r="E62" s="152">
        <f>IF(B62&lt;=$F$17,(E$19*(VLOOKUP($H$2,Лист2!$A:$N,12,0)-(B62-1)*VLOOKUP($H$2,Лист2!$A:$N,13,0))),0)</f>
        <v>2580.7920989774734</v>
      </c>
      <c r="F62" s="153">
        <f>ROUND((E$19-SUM(D$31:D61))*F$11*30/365,2)</f>
        <v>899.68</v>
      </c>
      <c r="G62" s="196">
        <f t="shared" si="1"/>
        <v>5128.9930086358727</v>
      </c>
      <c r="H62" s="196"/>
      <c r="I62" s="124"/>
      <c r="J62" s="124"/>
    </row>
    <row r="63" spans="1:11" x14ac:dyDescent="0.25">
      <c r="A63" s="59"/>
      <c r="B63" s="119">
        <v>33</v>
      </c>
      <c r="C63" s="122">
        <f t="shared" ca="1" si="0"/>
        <v>45074</v>
      </c>
      <c r="D63" s="151">
        <f>IF(B63&lt;$F$17,$F$20-E63-F63,IF(B63=$F$17,$E$19-SUM($D$30:D62),0))</f>
        <v>1703.8509096583998</v>
      </c>
      <c r="E63" s="152">
        <f>IF(B63&lt;=$F$17,(E$19*(VLOOKUP($H$2,Лист2!$A:$N,12,0)-(B63-1)*VLOOKUP($H$2,Лист2!$A:$N,13,0))),0)</f>
        <v>2545.792098977473</v>
      </c>
      <c r="F63" s="153">
        <f>ROUND((E$19-SUM(D$31:D62))*F$11*30/365,2)</f>
        <v>879.35</v>
      </c>
      <c r="G63" s="196">
        <f t="shared" si="1"/>
        <v>5128.9930086358727</v>
      </c>
      <c r="H63" s="196"/>
      <c r="I63" s="124"/>
      <c r="J63" s="124"/>
    </row>
    <row r="64" spans="1:11" x14ac:dyDescent="0.25">
      <c r="A64" s="59"/>
      <c r="B64" s="119">
        <v>34</v>
      </c>
      <c r="C64" s="122">
        <f t="shared" ca="1" si="0"/>
        <v>45105</v>
      </c>
      <c r="D64" s="151">
        <f>IF(B64&lt;$F$17,$F$20-E64-F64,IF(B64=$F$17,$E$19-SUM($D$30:D63),0))</f>
        <v>1759.8509096583994</v>
      </c>
      <c r="E64" s="152">
        <f>IF(B64&lt;=$F$17,(E$19*(VLOOKUP($H$2,Лист2!$A:$N,12,0)-(B64-1)*VLOOKUP($H$2,Лист2!$A:$N,13,0))),0)</f>
        <v>2510.7920989774734</v>
      </c>
      <c r="F64" s="153">
        <f>ROUND((E$19-SUM(D$31:D63))*F$11*30/365,2)</f>
        <v>858.35</v>
      </c>
      <c r="G64" s="196">
        <f t="shared" si="1"/>
        <v>5128.9930086358727</v>
      </c>
      <c r="H64" s="196"/>
      <c r="I64" s="124"/>
      <c r="J64" s="124"/>
    </row>
    <row r="65" spans="1:10" x14ac:dyDescent="0.25">
      <c r="A65" s="59"/>
      <c r="B65" s="119">
        <v>35</v>
      </c>
      <c r="C65" s="122">
        <f t="shared" ca="1" si="0"/>
        <v>45135</v>
      </c>
      <c r="D65" s="151">
        <f>IF(B65&lt;$F$17,$F$20-E65-F65,IF(B65=$F$17,$E$19-SUM($D$30:D64),0))</f>
        <v>1816.5509096583996</v>
      </c>
      <c r="E65" s="152">
        <f>IF(B65&lt;=$F$17,(E$19*(VLOOKUP($H$2,Лист2!$A:$N,12,0)-(B65-1)*VLOOKUP($H$2,Лист2!$A:$N,13,0))),0)</f>
        <v>2475.792098977473</v>
      </c>
      <c r="F65" s="153">
        <f>ROUND((E$19-SUM(D$31:D64))*F$11*30/365,2)</f>
        <v>836.65</v>
      </c>
      <c r="G65" s="196">
        <f t="shared" si="1"/>
        <v>5128.9930086358727</v>
      </c>
      <c r="H65" s="196"/>
      <c r="I65" s="124"/>
      <c r="J65" s="124"/>
    </row>
    <row r="66" spans="1:10" x14ac:dyDescent="0.25">
      <c r="A66" s="59"/>
      <c r="B66" s="119">
        <v>36</v>
      </c>
      <c r="C66" s="122">
        <f t="shared" ca="1" si="0"/>
        <v>45166</v>
      </c>
      <c r="D66" s="151">
        <f>IF(B66&lt;$F$17,$F$20-E66-F66,IF(B66=$F$17,$E$19-SUM($D$30:D65),0))</f>
        <v>1873.9509096583997</v>
      </c>
      <c r="E66" s="152">
        <f>IF(B66&lt;=$F$17,(E$19*(VLOOKUP($H$2,Лист2!$A:$N,12,0)-(B66-1)*VLOOKUP($H$2,Лист2!$A:$N,13,0))),0)</f>
        <v>2440.792098977473</v>
      </c>
      <c r="F66" s="153">
        <f>ROUND((E$19-SUM(D$31:D65))*F$11*30/365,2)</f>
        <v>814.25</v>
      </c>
      <c r="G66" s="196">
        <f t="shared" si="1"/>
        <v>5128.9930086358727</v>
      </c>
      <c r="H66" s="196"/>
      <c r="I66" s="124"/>
      <c r="J66" s="124"/>
    </row>
    <row r="67" spans="1:10" x14ac:dyDescent="0.25">
      <c r="A67" s="59"/>
      <c r="B67" s="119">
        <v>37</v>
      </c>
      <c r="C67" s="122">
        <f t="shared" ca="1" si="0"/>
        <v>45197</v>
      </c>
      <c r="D67" s="151">
        <f>IF(B67&lt;$F$17,$F$20-E67-F67,IF(B67=$F$17,$E$19-SUM($D$30:D66),0))</f>
        <v>1932.0509096583996</v>
      </c>
      <c r="E67" s="152">
        <f>IF(B67&lt;=$F$17,(E$19*(VLOOKUP($H$2,Лист2!$A:$N,12,0)-(B67-1)*VLOOKUP($H$2,Лист2!$A:$N,13,0))),0)</f>
        <v>2405.792098977473</v>
      </c>
      <c r="F67" s="153">
        <f>ROUND((E$19-SUM(D$31:D66))*F$11*30/365,2)</f>
        <v>791.15</v>
      </c>
      <c r="G67" s="196">
        <f t="shared" si="1"/>
        <v>5128.9930086358727</v>
      </c>
      <c r="H67" s="196"/>
      <c r="I67" s="124"/>
      <c r="J67" s="124"/>
    </row>
    <row r="68" spans="1:10" x14ac:dyDescent="0.25">
      <c r="A68" s="59"/>
      <c r="B68" s="119">
        <v>38</v>
      </c>
      <c r="C68" s="122">
        <f t="shared" ca="1" si="0"/>
        <v>45227</v>
      </c>
      <c r="D68" s="151">
        <f>IF(B68&lt;$F$17,$F$20-E68-F68,IF(B68=$F$17,$E$19-SUM($D$30:D67),0))</f>
        <v>1990.8709096583998</v>
      </c>
      <c r="E68" s="152">
        <f>IF(B68&lt;=$F$17,(E$19*(VLOOKUP($H$2,Лист2!$A:$N,12,0)-(B68-1)*VLOOKUP($H$2,Лист2!$A:$N,13,0))),0)</f>
        <v>2370.792098977473</v>
      </c>
      <c r="F68" s="153">
        <f>ROUND((E$19-SUM(D$31:D67))*F$11*30/365,2)</f>
        <v>767.33</v>
      </c>
      <c r="G68" s="196">
        <f t="shared" si="1"/>
        <v>5128.9930086358727</v>
      </c>
      <c r="H68" s="196"/>
      <c r="I68" s="124"/>
      <c r="J68" s="124"/>
    </row>
    <row r="69" spans="1:10" x14ac:dyDescent="0.25">
      <c r="A69" s="59"/>
      <c r="B69" s="119">
        <v>39</v>
      </c>
      <c r="C69" s="122">
        <f t="shared" ca="1" si="0"/>
        <v>45258</v>
      </c>
      <c r="D69" s="151">
        <f>IF(B69&lt;$F$17,$F$20-E69-F69,IF(B69=$F$17,$E$19-SUM($D$30:D68),0))</f>
        <v>2050.4109096583998</v>
      </c>
      <c r="E69" s="152">
        <f>IF(B69&lt;=$F$17,(E$19*(VLOOKUP($H$2,Лист2!$A:$N,12,0)-(B69-1)*VLOOKUP($H$2,Лист2!$A:$N,13,0))),0)</f>
        <v>2335.792098977473</v>
      </c>
      <c r="F69" s="153">
        <f>ROUND((E$19-SUM(D$31:D68))*F$11*30/365,2)</f>
        <v>742.79</v>
      </c>
      <c r="G69" s="196">
        <f t="shared" si="1"/>
        <v>5128.9930086358727</v>
      </c>
      <c r="H69" s="196"/>
      <c r="I69" s="124"/>
      <c r="J69" s="124"/>
    </row>
    <row r="70" spans="1:10" x14ac:dyDescent="0.25">
      <c r="A70" s="59"/>
      <c r="B70" s="119">
        <v>40</v>
      </c>
      <c r="C70" s="122">
        <f t="shared" ca="1" si="0"/>
        <v>45288</v>
      </c>
      <c r="D70" s="151">
        <f>IF(B70&lt;$F$17,$F$20-E70-F70,IF(B70=$F$17,$E$19-SUM($D$30:D69),0))</f>
        <v>2110.6909096583995</v>
      </c>
      <c r="E70" s="152">
        <f>IF(B70&lt;=$F$17,(E$19*(VLOOKUP($H$2,Лист2!$A:$N,12,0)-(B70-1)*VLOOKUP($H$2,Лист2!$A:$N,13,0))),0)</f>
        <v>2300.792098977473</v>
      </c>
      <c r="F70" s="153">
        <f>ROUND((E$19-SUM(D$31:D69))*F$11*30/365,2)</f>
        <v>717.51</v>
      </c>
      <c r="G70" s="196">
        <f t="shared" si="1"/>
        <v>5128.9930086358727</v>
      </c>
      <c r="H70" s="196"/>
      <c r="I70" s="124"/>
      <c r="J70" s="124"/>
    </row>
    <row r="71" spans="1:10" x14ac:dyDescent="0.25">
      <c r="A71" s="59"/>
      <c r="B71" s="119">
        <v>41</v>
      </c>
      <c r="C71" s="122">
        <f t="shared" ca="1" si="0"/>
        <v>45319</v>
      </c>
      <c r="D71" s="151">
        <f>IF(B71&lt;$F$17,$F$20-E71-F71,IF(B71=$F$17,$E$19-SUM($D$30:D70),0))</f>
        <v>2171.7209096583993</v>
      </c>
      <c r="E71" s="152">
        <f>IF(B71&lt;=$F$17,(E$19*(VLOOKUP($H$2,Лист2!$A:$N,12,0)-(B71-1)*VLOOKUP($H$2,Лист2!$A:$N,13,0))),0)</f>
        <v>2265.7920989774734</v>
      </c>
      <c r="F71" s="153">
        <f>ROUND((E$19-SUM(D$31:D70))*F$11*30/365,2)</f>
        <v>691.48</v>
      </c>
      <c r="G71" s="196">
        <f t="shared" si="1"/>
        <v>5128.9930086358727</v>
      </c>
      <c r="H71" s="196"/>
      <c r="I71" s="124"/>
      <c r="J71" s="124"/>
    </row>
    <row r="72" spans="1:10" x14ac:dyDescent="0.25">
      <c r="A72" s="59"/>
      <c r="B72" s="119">
        <v>42</v>
      </c>
      <c r="C72" s="122">
        <f t="shared" ca="1" si="0"/>
        <v>45350</v>
      </c>
      <c r="D72" s="151">
        <f>IF(B72&lt;$F$17,$F$20-E72-F72,IF(B72=$F$17,$E$19-SUM($D$30:D71),0))</f>
        <v>2233.4909096583997</v>
      </c>
      <c r="E72" s="152">
        <f>IF(B72&lt;=$F$17,(E$19*(VLOOKUP($H$2,Лист2!$A:$N,12,0)-(B72-1)*VLOOKUP($H$2,Лист2!$A:$N,13,0))),0)</f>
        <v>2230.792098977473</v>
      </c>
      <c r="F72" s="153">
        <f>ROUND((E$19-SUM(D$31:D71))*F$11*30/365,2)</f>
        <v>664.71</v>
      </c>
      <c r="G72" s="196">
        <f t="shared" si="1"/>
        <v>5128.9930086358727</v>
      </c>
      <c r="H72" s="196"/>
      <c r="I72" s="124"/>
      <c r="J72" s="124"/>
    </row>
    <row r="73" spans="1:10" x14ac:dyDescent="0.25">
      <c r="A73" s="59"/>
      <c r="B73" s="119">
        <v>43</v>
      </c>
      <c r="C73" s="122">
        <f t="shared" ca="1" si="0"/>
        <v>45379</v>
      </c>
      <c r="D73" s="151">
        <f>IF(B73&lt;$F$17,$F$20-E73-F73,IF(B73=$F$17,$E$19-SUM($D$30:D72),0))</f>
        <v>2296.0309096583992</v>
      </c>
      <c r="E73" s="152">
        <f>IF(B73&lt;=$F$17,(E$19*(VLOOKUP($H$2,Лист2!$A:$N,12,0)-(B73-1)*VLOOKUP($H$2,Лист2!$A:$N,13,0))),0)</f>
        <v>2195.7920989774734</v>
      </c>
      <c r="F73" s="153">
        <f>ROUND((E$19-SUM(D$31:D72))*F$11*30/365,2)</f>
        <v>637.16999999999996</v>
      </c>
      <c r="G73" s="196">
        <f t="shared" si="1"/>
        <v>5128.9930086358727</v>
      </c>
      <c r="H73" s="196"/>
      <c r="I73" s="124"/>
      <c r="J73" s="124"/>
    </row>
    <row r="74" spans="1:10" x14ac:dyDescent="0.25">
      <c r="A74" s="59"/>
      <c r="B74" s="119">
        <v>44</v>
      </c>
      <c r="C74" s="122">
        <f t="shared" ca="1" si="0"/>
        <v>45410</v>
      </c>
      <c r="D74" s="151">
        <f>IF(B74&lt;$F$17,$F$20-E74-F74,IF(B74=$F$17,$E$19-SUM($D$30:D73),0))</f>
        <v>2359.3309096583998</v>
      </c>
      <c r="E74" s="152">
        <f>IF(B74&lt;=$F$17,(E$19*(VLOOKUP($H$2,Лист2!$A:$N,12,0)-(B74-1)*VLOOKUP($H$2,Лист2!$A:$N,13,0))),0)</f>
        <v>2160.792098977473</v>
      </c>
      <c r="F74" s="153">
        <f>ROUND((E$19-SUM(D$31:D73))*F$11*30/365,2)</f>
        <v>608.87</v>
      </c>
      <c r="G74" s="196">
        <f t="shared" si="1"/>
        <v>5128.9930086358727</v>
      </c>
      <c r="H74" s="196"/>
      <c r="I74" s="124"/>
      <c r="J74" s="124"/>
    </row>
    <row r="75" spans="1:10" x14ac:dyDescent="0.25">
      <c r="A75" s="59"/>
      <c r="B75" s="119">
        <v>45</v>
      </c>
      <c r="C75" s="122">
        <f t="shared" ca="1" si="0"/>
        <v>45440</v>
      </c>
      <c r="D75" s="151">
        <f>IF(B75&lt;$F$17,$F$20-E75-F75,IF(B75=$F$17,$E$19-SUM($D$30:D74),0))</f>
        <v>2423.4209096584</v>
      </c>
      <c r="E75" s="152">
        <f>IF(B75&lt;=$F$17,(E$19*(VLOOKUP($H$2,Лист2!$A:$N,12,0)-(B75-1)*VLOOKUP($H$2,Лист2!$A:$N,13,0))),0)</f>
        <v>2125.792098977473</v>
      </c>
      <c r="F75" s="153">
        <f>ROUND((E$19-SUM(D$31:D74))*F$11*30/365,2)</f>
        <v>579.78</v>
      </c>
      <c r="G75" s="196">
        <f t="shared" si="1"/>
        <v>5128.9930086358727</v>
      </c>
      <c r="H75" s="196"/>
      <c r="I75" s="124"/>
      <c r="J75" s="124"/>
    </row>
    <row r="76" spans="1:10" x14ac:dyDescent="0.25">
      <c r="A76" s="59"/>
      <c r="B76" s="119">
        <v>46</v>
      </c>
      <c r="C76" s="122">
        <f t="shared" ca="1" si="0"/>
        <v>45471</v>
      </c>
      <c r="D76" s="151">
        <f>IF(B76&lt;$F$17,$F$20-E76-F76,IF(B76=$F$17,$E$19-SUM($D$30:D75),0))</f>
        <v>2488.3009096583996</v>
      </c>
      <c r="E76" s="152">
        <f>IF(B76&lt;=$F$17,(E$19*(VLOOKUP($H$2,Лист2!$A:$N,12,0)-(B76-1)*VLOOKUP($H$2,Лист2!$A:$N,13,0))),0)</f>
        <v>2090.792098977473</v>
      </c>
      <c r="F76" s="153">
        <f>ROUND((E$19-SUM(D$31:D75))*F$11*30/365,2)</f>
        <v>549.9</v>
      </c>
      <c r="G76" s="196">
        <f t="shared" si="1"/>
        <v>5128.9930086358727</v>
      </c>
      <c r="H76" s="196"/>
      <c r="I76" s="124"/>
      <c r="J76" s="124"/>
    </row>
    <row r="77" spans="1:10" x14ac:dyDescent="0.25">
      <c r="A77" s="59"/>
      <c r="B77" s="119">
        <v>47</v>
      </c>
      <c r="C77" s="122">
        <f t="shared" ca="1" si="0"/>
        <v>45501</v>
      </c>
      <c r="D77" s="151">
        <f>IF(B77&lt;$F$17,$F$20-E77-F77,IF(B77=$F$17,$E$19-SUM($D$30:D76),0))</f>
        <v>2553.9809096583995</v>
      </c>
      <c r="E77" s="152">
        <f>IF(B77&lt;=$F$17,(E$19*(VLOOKUP($H$2,Лист2!$A:$N,12,0)-(B77-1)*VLOOKUP($H$2,Лист2!$A:$N,13,0))),0)</f>
        <v>2055.792098977473</v>
      </c>
      <c r="F77" s="153">
        <f>ROUND((E$19-SUM(D$31:D76))*F$11*30/365,2)</f>
        <v>519.22</v>
      </c>
      <c r="G77" s="196">
        <f t="shared" si="1"/>
        <v>5128.9930086358727</v>
      </c>
      <c r="H77" s="196"/>
      <c r="I77" s="124"/>
      <c r="J77" s="124"/>
    </row>
    <row r="78" spans="1:10" x14ac:dyDescent="0.25">
      <c r="A78" s="59"/>
      <c r="B78" s="119">
        <v>48</v>
      </c>
      <c r="C78" s="122">
        <f t="shared" ca="1" si="0"/>
        <v>45532</v>
      </c>
      <c r="D78" s="151">
        <f>IF(B78&lt;$F$17,$F$20-E78-F78,IF(B78=$F$17,$E$19-SUM($D$30:D77),0))</f>
        <v>2620.4609096583999</v>
      </c>
      <c r="E78" s="152">
        <f>IF(B78&lt;=$F$17,(E$19*(VLOOKUP($H$2,Лист2!$A:$N,12,0)-(B78-1)*VLOOKUP($H$2,Лист2!$A:$N,13,0))),0)</f>
        <v>2020.7920989774732</v>
      </c>
      <c r="F78" s="153">
        <f>ROUND((E$19-SUM(D$31:D77))*F$11*30/365,2)</f>
        <v>487.74</v>
      </c>
      <c r="G78" s="196">
        <f t="shared" si="1"/>
        <v>5128.9930086358727</v>
      </c>
      <c r="H78" s="196"/>
      <c r="I78" s="124"/>
      <c r="J78" s="124"/>
    </row>
    <row r="79" spans="1:10" x14ac:dyDescent="0.25">
      <c r="A79" s="59"/>
      <c r="B79" s="119">
        <v>49</v>
      </c>
      <c r="C79" s="122">
        <f t="shared" ca="1" si="0"/>
        <v>45563</v>
      </c>
      <c r="D79" s="151">
        <f>IF(B79&lt;$F$17,$F$20-E79-F79,IF(B79=$F$17,$E$19-SUM($D$30:D78),0))</f>
        <v>2687.7709096583999</v>
      </c>
      <c r="E79" s="152">
        <f>IF(B79&lt;=$F$17,(E$19*(VLOOKUP($H$2,Лист2!$A:$N,12,0)-(B79-1)*VLOOKUP($H$2,Лист2!$A:$N,13,0))),0)</f>
        <v>1985.7920989774732</v>
      </c>
      <c r="F79" s="153">
        <f>ROUND((E$19-SUM(D$31:D78))*F$11*30/365,2)</f>
        <v>455.43</v>
      </c>
      <c r="G79" s="196">
        <f t="shared" si="1"/>
        <v>5128.9930086358736</v>
      </c>
      <c r="H79" s="196"/>
      <c r="I79" s="124"/>
      <c r="J79" s="124"/>
    </row>
    <row r="80" spans="1:10" x14ac:dyDescent="0.25">
      <c r="A80" s="59"/>
      <c r="B80" s="119">
        <v>50</v>
      </c>
      <c r="C80" s="122">
        <f t="shared" ca="1" si="0"/>
        <v>45593</v>
      </c>
      <c r="D80" s="151">
        <f>IF(B80&lt;$F$17,$F$20-E80-F80,IF(B80=$F$17,$E$19-SUM($D$30:D79),0))</f>
        <v>2755.9109096583998</v>
      </c>
      <c r="E80" s="152">
        <f>IF(B80&lt;=$F$17,(E$19*(VLOOKUP($H$2,Лист2!$A:$N,12,0)-(B80-1)*VLOOKUP($H$2,Лист2!$A:$N,13,0))),0)</f>
        <v>1950.7920989774732</v>
      </c>
      <c r="F80" s="153">
        <f>ROUND((E$19-SUM(D$31:D79))*F$11*30/365,2)</f>
        <v>422.29</v>
      </c>
      <c r="G80" s="196">
        <f t="shared" si="1"/>
        <v>5128.9930086358727</v>
      </c>
      <c r="H80" s="196"/>
      <c r="I80" s="124"/>
      <c r="J80" s="124"/>
    </row>
    <row r="81" spans="1:10" x14ac:dyDescent="0.25">
      <c r="A81" s="59"/>
      <c r="B81" s="119">
        <v>51</v>
      </c>
      <c r="C81" s="122">
        <f t="shared" ca="1" si="0"/>
        <v>45624</v>
      </c>
      <c r="D81" s="151">
        <f>IF(B81&lt;$F$17,$F$20-E81-F81,IF(B81=$F$17,$E$19-SUM($D$30:D80),0))</f>
        <v>2824.8809096583996</v>
      </c>
      <c r="E81" s="152">
        <f>IF(B81&lt;=$F$17,(E$19*(VLOOKUP($H$2,Лист2!$A:$N,12,0)-(B81-1)*VLOOKUP($H$2,Лист2!$A:$N,13,0))),0)</f>
        <v>1915.7920989774732</v>
      </c>
      <c r="F81" s="153">
        <f>ROUND((E$19-SUM(D$31:D80))*F$11*30/365,2)</f>
        <v>388.32</v>
      </c>
      <c r="G81" s="196">
        <f t="shared" si="1"/>
        <v>5128.9930086358727</v>
      </c>
      <c r="H81" s="196"/>
      <c r="I81" s="124"/>
      <c r="J81" s="124"/>
    </row>
    <row r="82" spans="1:10" x14ac:dyDescent="0.25">
      <c r="A82" s="59"/>
      <c r="B82" s="119">
        <v>52</v>
      </c>
      <c r="C82" s="122">
        <f t="shared" ca="1" si="0"/>
        <v>45654</v>
      </c>
      <c r="D82" s="151">
        <f>IF(B82&lt;$F$17,$F$20-E82-F82,IF(B82=$F$17,$E$19-SUM($D$30:D81),0))</f>
        <v>2894.7109096583999</v>
      </c>
      <c r="E82" s="152">
        <f>IF(B82&lt;=$F$17,(E$19*(VLOOKUP($H$2,Лист2!$A:$N,12,0)-(B82-1)*VLOOKUP($H$2,Лист2!$A:$N,13,0))),0)</f>
        <v>1880.792098977473</v>
      </c>
      <c r="F82" s="153">
        <f>ROUND((E$19-SUM(D$31:D81))*F$11*30/365,2)</f>
        <v>353.49</v>
      </c>
      <c r="G82" s="196">
        <f t="shared" si="1"/>
        <v>5128.9930086358727</v>
      </c>
      <c r="H82" s="196"/>
      <c r="I82" s="124"/>
      <c r="J82" s="124"/>
    </row>
    <row r="83" spans="1:10" x14ac:dyDescent="0.25">
      <c r="A83" s="59"/>
      <c r="B83" s="119">
        <v>53</v>
      </c>
      <c r="C83" s="122">
        <f t="shared" ca="1" si="0"/>
        <v>45685</v>
      </c>
      <c r="D83" s="151">
        <f>IF(B83&lt;$F$17,$F$20-E83-F83,IF(B83=$F$17,$E$19-SUM($D$30:D82),0))</f>
        <v>2965.4009096583995</v>
      </c>
      <c r="E83" s="152">
        <f>IF(B83&lt;=$F$17,(E$19*(VLOOKUP($H$2,Лист2!$A:$N,12,0)-(B83-1)*VLOOKUP($H$2,Лист2!$A:$N,13,0))),0)</f>
        <v>1845.792098977473</v>
      </c>
      <c r="F83" s="153">
        <f>ROUND((E$19-SUM(D$31:D82))*F$11*30/365,2)</f>
        <v>317.8</v>
      </c>
      <c r="G83" s="196">
        <f t="shared" si="1"/>
        <v>5128.9930086358727</v>
      </c>
      <c r="H83" s="196"/>
      <c r="I83" s="124"/>
      <c r="J83" s="124"/>
    </row>
    <row r="84" spans="1:10" x14ac:dyDescent="0.25">
      <c r="A84" s="59"/>
      <c r="B84" s="119">
        <v>54</v>
      </c>
      <c r="C84" s="122">
        <f t="shared" ca="1" si="0"/>
        <v>45716</v>
      </c>
      <c r="D84" s="151">
        <f>IF(B84&lt;$F$17,$F$20-E84-F84,IF(B84=$F$17,$E$19-SUM($D$30:D83),0))</f>
        <v>3036.9609096583999</v>
      </c>
      <c r="E84" s="152">
        <f>IF(B84&lt;=$F$17,(E$19*(VLOOKUP($H$2,Лист2!$A:$N,12,0)-(B84-1)*VLOOKUP($H$2,Лист2!$A:$N,13,0))),0)</f>
        <v>1810.792098977473</v>
      </c>
      <c r="F84" s="153">
        <f>ROUND((E$19-SUM(D$31:D83))*F$11*30/365,2)</f>
        <v>281.24</v>
      </c>
      <c r="G84" s="196">
        <f t="shared" si="1"/>
        <v>5128.9930086358727</v>
      </c>
      <c r="H84" s="196"/>
      <c r="I84" s="124"/>
      <c r="J84" s="124"/>
    </row>
    <row r="85" spans="1:10" x14ac:dyDescent="0.25">
      <c r="A85" s="59"/>
      <c r="B85" s="119">
        <v>55</v>
      </c>
      <c r="C85" s="122">
        <f t="shared" ca="1" si="0"/>
        <v>45744</v>
      </c>
      <c r="D85" s="151">
        <f>IF(B85&lt;$F$17,$F$20-E85-F85,IF(B85=$F$17,$E$19-SUM($D$30:D84),0))</f>
        <v>3109.4009096583995</v>
      </c>
      <c r="E85" s="152">
        <f>IF(B85&lt;=$F$17,(E$19*(VLOOKUP($H$2,Лист2!$A:$N,12,0)-(B85-1)*VLOOKUP($H$2,Лист2!$A:$N,13,0))),0)</f>
        <v>1775.7920989774732</v>
      </c>
      <c r="F85" s="153">
        <f>ROUND((E$19-SUM(D$31:D84))*F$11*30/365,2)</f>
        <v>243.8</v>
      </c>
      <c r="G85" s="196">
        <f t="shared" si="1"/>
        <v>5128.9930086358727</v>
      </c>
      <c r="H85" s="196"/>
      <c r="I85" s="124"/>
      <c r="J85" s="124"/>
    </row>
    <row r="86" spans="1:10" x14ac:dyDescent="0.25">
      <c r="A86" s="59"/>
      <c r="B86" s="119">
        <v>56</v>
      </c>
      <c r="C86" s="122">
        <f t="shared" ca="1" si="0"/>
        <v>45775</v>
      </c>
      <c r="D86" s="151">
        <f>IF(B86&lt;$F$17,$F$20-E86-F86,IF(B86=$F$17,$E$19-SUM($D$30:D85),0))</f>
        <v>3182.7409096583997</v>
      </c>
      <c r="E86" s="152">
        <f>IF(B86&lt;=$F$17,(E$19*(VLOOKUP($H$2,Лист2!$A:$N,12,0)-(B86-1)*VLOOKUP($H$2,Лист2!$A:$N,13,0))),0)</f>
        <v>1740.7920989774732</v>
      </c>
      <c r="F86" s="153">
        <f>ROUND((E$19-SUM(D$31:D85))*F$11*30/365,2)</f>
        <v>205.46</v>
      </c>
      <c r="G86" s="196">
        <f t="shared" si="1"/>
        <v>5128.9930086358727</v>
      </c>
      <c r="H86" s="196"/>
      <c r="I86" s="124"/>
      <c r="J86" s="124"/>
    </row>
    <row r="87" spans="1:10" x14ac:dyDescent="0.25">
      <c r="A87" s="59"/>
      <c r="B87" s="119">
        <v>57</v>
      </c>
      <c r="C87" s="122">
        <f t="shared" ca="1" si="0"/>
        <v>45805</v>
      </c>
      <c r="D87" s="151">
        <f>IF(B87&lt;$F$17,$F$20-E87-F87,IF(B87=$F$17,$E$19-SUM($D$30:D86),0))</f>
        <v>3256.9809096583999</v>
      </c>
      <c r="E87" s="152">
        <f>IF(B87&lt;=$F$17,(E$19*(VLOOKUP($H$2,Лист2!$A:$N,12,0)-(B87-1)*VLOOKUP($H$2,Лист2!$A:$N,13,0))),0)</f>
        <v>1705.7920989774732</v>
      </c>
      <c r="F87" s="153">
        <f>ROUND((E$19-SUM(D$31:D86))*F$11*30/365,2)</f>
        <v>166.22</v>
      </c>
      <c r="G87" s="196">
        <f t="shared" si="1"/>
        <v>5128.9930086358736</v>
      </c>
      <c r="H87" s="196"/>
      <c r="I87" s="124"/>
      <c r="J87" s="124"/>
    </row>
    <row r="88" spans="1:10" x14ac:dyDescent="0.25">
      <c r="A88" s="59"/>
      <c r="B88" s="119">
        <v>58</v>
      </c>
      <c r="C88" s="122">
        <f t="shared" ca="1" si="0"/>
        <v>45836</v>
      </c>
      <c r="D88" s="151">
        <f>IF(B88&lt;$F$17,$F$20-E88-F88,IF(B88=$F$17,$E$19-SUM($D$30:D87),0))</f>
        <v>3332.1309096583996</v>
      </c>
      <c r="E88" s="152">
        <f>IF(B88&lt;=$F$17,(E$19*(VLOOKUP($H$2,Лист2!$A:$N,12,0)-(B88-1)*VLOOKUP($H$2,Лист2!$A:$N,13,0))),0)</f>
        <v>1670.7920989774732</v>
      </c>
      <c r="F88" s="153">
        <f>ROUND((E$19-SUM(D$31:D87))*F$11*30/365,2)</f>
        <v>126.07</v>
      </c>
      <c r="G88" s="196">
        <f t="shared" si="1"/>
        <v>5128.9930086358727</v>
      </c>
      <c r="H88" s="196"/>
      <c r="I88" s="124"/>
      <c r="J88" s="124"/>
    </row>
    <row r="89" spans="1:10" x14ac:dyDescent="0.25">
      <c r="A89" s="59"/>
      <c r="B89" s="119">
        <v>59</v>
      </c>
      <c r="C89" s="122">
        <f t="shared" ca="1" si="0"/>
        <v>45866</v>
      </c>
      <c r="D89" s="151">
        <f>IF(B89&lt;$F$17,$F$20-E89-F89,IF(B89=$F$17,$E$19-SUM($D$30:D88),0))</f>
        <v>3408.2109096583999</v>
      </c>
      <c r="E89" s="152">
        <f>IF(B89&lt;=$F$17,(E$19*(VLOOKUP($H$2,Лист2!$A:$N,12,0)-(B89-1)*VLOOKUP($H$2,Лист2!$A:$N,13,0))),0)</f>
        <v>1635.7920989774732</v>
      </c>
      <c r="F89" s="153">
        <f>ROUND((E$19-SUM(D$31:D88))*F$11*30/365,2)</f>
        <v>84.99</v>
      </c>
      <c r="G89" s="196">
        <f t="shared" si="1"/>
        <v>5128.9930086358727</v>
      </c>
      <c r="H89" s="196"/>
      <c r="I89" s="124"/>
      <c r="J89" s="124"/>
    </row>
    <row r="90" spans="1:10" ht="13.8" thickBot="1" x14ac:dyDescent="0.3">
      <c r="A90" s="59"/>
      <c r="B90" s="147">
        <v>60</v>
      </c>
      <c r="C90" s="148">
        <f t="shared" ca="1" si="0"/>
        <v>45897</v>
      </c>
      <c r="D90" s="154">
        <f>IF(B90&lt;$F$17,$F$20-E90-F90,IF(B90=$F$17,$E$19-SUM($D$30:D89),0))</f>
        <v>3485.2563301543996</v>
      </c>
      <c r="E90" s="155">
        <f>IF(B90&lt;=$F$17,(E$19*(VLOOKUP($H$2,Лист2!$A:$N,12,0)-(B90-1)*VLOOKUP($H$2,Лист2!$A:$N,13,0))),0)</f>
        <v>1600.7920989774732</v>
      </c>
      <c r="F90" s="156">
        <f>ROUND((E$19-SUM(D$31:D89))*F$11*30/365,2)</f>
        <v>42.97</v>
      </c>
      <c r="G90" s="200">
        <f t="shared" si="1"/>
        <v>5129.0184291318728</v>
      </c>
      <c r="H90" s="200"/>
      <c r="I90" s="124"/>
      <c r="J90" s="124"/>
    </row>
    <row r="91" spans="1:10" ht="16.2" thickBot="1" x14ac:dyDescent="0.3">
      <c r="A91" s="59"/>
      <c r="B91" s="179" t="s">
        <v>1</v>
      </c>
      <c r="C91" s="197"/>
      <c r="D91" s="158">
        <f>SUM(D31:D90)</f>
        <v>100000</v>
      </c>
      <c r="E91" s="158">
        <f>SUM(E31:E90)</f>
        <v>157997.52593864856</v>
      </c>
      <c r="F91" s="158">
        <f>SUM(F31:F90)</f>
        <v>49742.080000000009</v>
      </c>
      <c r="G91" s="198">
        <f>SUM(G31:H90)</f>
        <v>307739.60593864869</v>
      </c>
      <c r="H91" s="199"/>
      <c r="I91" s="124"/>
      <c r="J91" s="124"/>
    </row>
    <row r="92" spans="1:10" x14ac:dyDescent="0.25">
      <c r="A92" s="59"/>
      <c r="B92" s="2"/>
      <c r="C92" s="2"/>
      <c r="D92" s="2"/>
      <c r="E92" s="2"/>
      <c r="F92" s="2"/>
      <c r="G92" s="46"/>
      <c r="I92" s="124"/>
      <c r="J92" s="124"/>
    </row>
    <row r="93" spans="1:10" x14ac:dyDescent="0.25">
      <c r="A93" s="59"/>
      <c r="B93" s="2"/>
      <c r="C93" s="33"/>
      <c r="D93" s="34"/>
      <c r="E93" s="180" t="s">
        <v>3</v>
      </c>
      <c r="F93" s="180"/>
      <c r="G93" s="180"/>
      <c r="I93" s="124"/>
      <c r="J93" s="124"/>
    </row>
    <row r="94" spans="1:10" x14ac:dyDescent="0.25">
      <c r="A94" s="59"/>
      <c r="B94" s="2"/>
      <c r="C94" s="35"/>
      <c r="D94" s="2"/>
      <c r="E94" s="36" t="s">
        <v>4</v>
      </c>
      <c r="F94" s="37"/>
      <c r="G94" s="50"/>
      <c r="I94" s="124"/>
      <c r="J94" s="124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124"/>
      <c r="J95" s="124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  <row r="97" spans="1:9" x14ac:dyDescent="0.25">
      <c r="A97" s="59"/>
      <c r="B97" s="60"/>
      <c r="C97" s="60"/>
      <c r="D97" s="60"/>
      <c r="E97" s="60"/>
      <c r="F97" s="60"/>
      <c r="G97" s="125"/>
      <c r="H97" s="61"/>
      <c r="I97" s="62"/>
    </row>
    <row r="98" spans="1:9" x14ac:dyDescent="0.25">
      <c r="A98" s="59"/>
      <c r="B98" s="60"/>
      <c r="C98" s="60"/>
      <c r="D98" s="60"/>
      <c r="E98" s="60"/>
      <c r="F98" s="60"/>
      <c r="G98" s="125"/>
      <c r="H98" s="61"/>
      <c r="I98" s="62"/>
    </row>
  </sheetData>
  <sheetProtection password="B631" sheet="1" objects="1" scenarios="1" selectLockedCells="1"/>
  <dataConsolidate/>
  <mergeCells count="88">
    <mergeCell ref="B7:E7"/>
    <mergeCell ref="B91:C91"/>
    <mergeCell ref="G91:H91"/>
    <mergeCell ref="E93:G93"/>
    <mergeCell ref="B9:E9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78:H78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66:H66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54:H54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42:H42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30:H30"/>
    <mergeCell ref="B17:E17"/>
    <mergeCell ref="G17:H17"/>
    <mergeCell ref="B20:E20"/>
    <mergeCell ref="G20:H20"/>
    <mergeCell ref="B22:E22"/>
    <mergeCell ref="G22:H22"/>
    <mergeCell ref="B24:E24"/>
    <mergeCell ref="G24:H24"/>
    <mergeCell ref="B26:E26"/>
    <mergeCell ref="B28:H28"/>
    <mergeCell ref="G29:H29"/>
    <mergeCell ref="B11:E11"/>
    <mergeCell ref="G11:H11"/>
    <mergeCell ref="B13:E13"/>
    <mergeCell ref="G13:H13"/>
    <mergeCell ref="B15:E15"/>
    <mergeCell ref="G15:H15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$K$13:$K$18</formula1>
    </dataValidation>
  </dataValidations>
  <pageMargins left="0.39370078740157483" right="0.35433070866141736" top="0.59055118110236227" bottom="0.59055118110236227" header="0.51181102362204722" footer="0.51181102362204722"/>
  <pageSetup paperSize="9" scale="66" firstPageNumber="2" orientation="portrait" verticalDpi="300" r:id="rId1"/>
  <headerFooter alignWithMargins="0"/>
  <rowBreaks count="1" manualBreakCount="1">
    <brk id="9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9"/>
  <sheetViews>
    <sheetView zoomScale="85" zoomScaleNormal="85" workbookViewId="0">
      <selection activeCell="E6" sqref="E6"/>
    </sheetView>
  </sheetViews>
  <sheetFormatPr defaultColWidth="9.109375" defaultRowHeight="13.2" x14ac:dyDescent="0.25"/>
  <cols>
    <col min="1" max="1" width="31" style="128" customWidth="1"/>
    <col min="2" max="2" width="11.44140625" style="128" customWidth="1"/>
    <col min="3" max="4" width="9.109375" style="128"/>
    <col min="5" max="5" width="17.33203125" style="128" customWidth="1"/>
    <col min="6" max="6" width="16.88671875" style="128" customWidth="1"/>
    <col min="7" max="7" width="15.6640625" style="128" customWidth="1"/>
    <col min="8" max="10" width="9.109375" style="128" customWidth="1"/>
    <col min="11" max="13" width="17.5546875" style="128" customWidth="1"/>
    <col min="14" max="16384" width="9.109375" style="128"/>
  </cols>
  <sheetData>
    <row r="1" spans="1:14" x14ac:dyDescent="0.25">
      <c r="B1" s="128" t="s">
        <v>17</v>
      </c>
      <c r="C1" s="128" t="s">
        <v>18</v>
      </c>
      <c r="D1" s="128" t="s">
        <v>19</v>
      </c>
      <c r="E1" s="128" t="s">
        <v>20</v>
      </c>
      <c r="F1" s="128" t="s">
        <v>21</v>
      </c>
      <c r="J1" s="128" t="s">
        <v>12</v>
      </c>
      <c r="K1" s="128" t="s">
        <v>0</v>
      </c>
      <c r="L1" s="128" t="s">
        <v>27</v>
      </c>
      <c r="M1" s="128" t="s">
        <v>28</v>
      </c>
    </row>
    <row r="2" spans="1:14" x14ac:dyDescent="0.25">
      <c r="D2" s="129"/>
      <c r="E2" s="129"/>
      <c r="F2" s="129"/>
      <c r="H2" s="128" t="s">
        <v>23</v>
      </c>
      <c r="I2" s="128" t="s">
        <v>22</v>
      </c>
      <c r="K2" s="130"/>
      <c r="L2" s="130"/>
      <c r="M2" s="130"/>
    </row>
    <row r="3" spans="1:14" x14ac:dyDescent="0.25">
      <c r="A3" s="128">
        <v>1</v>
      </c>
      <c r="B3" s="128">
        <v>2</v>
      </c>
      <c r="C3" s="128">
        <v>3</v>
      </c>
      <c r="D3" s="128">
        <v>4</v>
      </c>
      <c r="E3" s="128">
        <v>5</v>
      </c>
      <c r="F3" s="128">
        <v>6</v>
      </c>
      <c r="G3" s="128">
        <v>7</v>
      </c>
      <c r="H3" s="128">
        <v>8</v>
      </c>
      <c r="I3" s="128">
        <v>9</v>
      </c>
      <c r="J3" s="128">
        <v>10</v>
      </c>
      <c r="K3" s="128">
        <v>11</v>
      </c>
      <c r="L3" s="128">
        <v>12</v>
      </c>
      <c r="M3" s="128">
        <v>13</v>
      </c>
      <c r="N3" s="128">
        <v>14</v>
      </c>
    </row>
    <row r="4" spans="1:14" s="140" customFormat="1" x14ac:dyDescent="0.25">
      <c r="A4" s="135" t="s">
        <v>42</v>
      </c>
      <c r="B4" s="135">
        <v>200000</v>
      </c>
      <c r="C4" s="135">
        <v>60</v>
      </c>
      <c r="D4" s="136">
        <v>0.15</v>
      </c>
      <c r="E4" s="136">
        <v>0.15</v>
      </c>
      <c r="F4" s="136">
        <v>2.75E-2</v>
      </c>
      <c r="G4" s="135" t="str">
        <f t="shared" ref="G4:G9" si="0">I$2&amp;" "&amp;B4&amp;" "&amp;H$2</f>
        <v>max. 200000 грн.</v>
      </c>
      <c r="H4" s="135">
        <f>B4+B4*E4</f>
        <v>230000</v>
      </c>
      <c r="I4" s="135"/>
      <c r="J4" s="135">
        <v>1</v>
      </c>
      <c r="K4" s="137">
        <f t="shared" ref="K4:K9" si="1">D4/12/(1-1/POWER(1+D4/12,C4))*H4+H4*F4</f>
        <v>11796.683919862513</v>
      </c>
      <c r="L4" s="138">
        <v>3.6657920989774731E-2</v>
      </c>
      <c r="M4" s="139">
        <v>3.5E-4</v>
      </c>
      <c r="N4" s="135">
        <v>869</v>
      </c>
    </row>
    <row r="5" spans="1:14" s="140" customFormat="1" x14ac:dyDescent="0.25">
      <c r="A5" s="135" t="s">
        <v>43</v>
      </c>
      <c r="B5" s="135">
        <v>200000</v>
      </c>
      <c r="C5" s="135">
        <v>48</v>
      </c>
      <c r="D5" s="136">
        <v>0.15</v>
      </c>
      <c r="E5" s="136">
        <v>0.15</v>
      </c>
      <c r="F5" s="136">
        <v>2.5000000000000001E-2</v>
      </c>
      <c r="G5" s="135" t="str">
        <f t="shared" si="0"/>
        <v>max. 200000 грн.</v>
      </c>
      <c r="H5" s="135">
        <f t="shared" ref="H5:H9" si="2">B5+B5*E5</f>
        <v>230000</v>
      </c>
      <c r="I5" s="135"/>
      <c r="J5" s="135">
        <v>1</v>
      </c>
      <c r="K5" s="137">
        <f t="shared" si="1"/>
        <v>12151.072101289541</v>
      </c>
      <c r="L5" s="138">
        <v>3.5684959719577046E-2</v>
      </c>
      <c r="M5" s="139">
        <v>5.0000000000000001E-4</v>
      </c>
      <c r="N5" s="135">
        <v>869</v>
      </c>
    </row>
    <row r="6" spans="1:14" s="140" customFormat="1" x14ac:dyDescent="0.25">
      <c r="A6" s="135" t="s">
        <v>44</v>
      </c>
      <c r="B6" s="135">
        <v>200000</v>
      </c>
      <c r="C6" s="135">
        <v>36</v>
      </c>
      <c r="D6" s="136">
        <v>0.15</v>
      </c>
      <c r="E6" s="136">
        <v>0.15</v>
      </c>
      <c r="F6" s="136">
        <v>2.2499999999999999E-2</v>
      </c>
      <c r="G6" s="135" t="str">
        <f t="shared" si="0"/>
        <v>max. 200000 грн.</v>
      </c>
      <c r="H6" s="135">
        <f t="shared" si="2"/>
        <v>230000</v>
      </c>
      <c r="I6" s="135"/>
      <c r="J6" s="135">
        <v>1</v>
      </c>
      <c r="K6" s="137">
        <f t="shared" si="1"/>
        <v>13148.025555964656</v>
      </c>
      <c r="L6" s="138">
        <v>3.8782461730312141E-2</v>
      </c>
      <c r="M6" s="139">
        <v>1E-3</v>
      </c>
      <c r="N6" s="135">
        <v>869</v>
      </c>
    </row>
    <row r="7" spans="1:14" s="140" customFormat="1" x14ac:dyDescent="0.25">
      <c r="A7" s="135" t="s">
        <v>45</v>
      </c>
      <c r="B7" s="135">
        <v>200000</v>
      </c>
      <c r="C7" s="135">
        <v>24</v>
      </c>
      <c r="D7" s="136">
        <v>0.15</v>
      </c>
      <c r="E7" s="136">
        <v>0.15</v>
      </c>
      <c r="F7" s="136">
        <v>1.9E-2</v>
      </c>
      <c r="G7" s="135" t="str">
        <f t="shared" si="0"/>
        <v>max. 200000 грн.</v>
      </c>
      <c r="H7" s="135">
        <f t="shared" si="2"/>
        <v>230000</v>
      </c>
      <c r="I7" s="135"/>
      <c r="J7" s="135">
        <v>1</v>
      </c>
      <c r="K7" s="137">
        <f t="shared" si="1"/>
        <v>15521.929050798743</v>
      </c>
      <c r="L7" s="138">
        <v>3.0011271053608075E-2</v>
      </c>
      <c r="M7" s="139">
        <v>1E-3</v>
      </c>
      <c r="N7" s="135">
        <v>869</v>
      </c>
    </row>
    <row r="8" spans="1:14" s="140" customFormat="1" x14ac:dyDescent="0.25">
      <c r="A8" s="135" t="s">
        <v>46</v>
      </c>
      <c r="B8" s="135">
        <v>200000</v>
      </c>
      <c r="C8" s="135">
        <v>18</v>
      </c>
      <c r="D8" s="136">
        <v>0.15</v>
      </c>
      <c r="E8" s="136">
        <v>0.15</v>
      </c>
      <c r="F8" s="136">
        <v>1.6E-2</v>
      </c>
      <c r="G8" s="135" t="str">
        <f t="shared" si="0"/>
        <v>max. 200000 грн.</v>
      </c>
      <c r="H8" s="135">
        <f t="shared" si="2"/>
        <v>230000</v>
      </c>
      <c r="I8" s="135"/>
      <c r="J8" s="135">
        <v>1</v>
      </c>
      <c r="K8" s="137">
        <f t="shared" si="1"/>
        <v>18028.501070988379</v>
      </c>
      <c r="L8" s="138">
        <v>2.4267103985283641E-2</v>
      </c>
      <c r="M8" s="139">
        <v>1E-3</v>
      </c>
      <c r="N8" s="135">
        <v>869</v>
      </c>
    </row>
    <row r="9" spans="1:14" s="140" customFormat="1" x14ac:dyDescent="0.25">
      <c r="A9" s="135" t="s">
        <v>47</v>
      </c>
      <c r="B9" s="135">
        <v>200000</v>
      </c>
      <c r="C9" s="135">
        <v>12</v>
      </c>
      <c r="D9" s="136">
        <v>0.15</v>
      </c>
      <c r="E9" s="136">
        <v>0.15</v>
      </c>
      <c r="F9" s="136">
        <v>1.2E-2</v>
      </c>
      <c r="G9" s="135" t="str">
        <f t="shared" si="0"/>
        <v>max. 200000 грн.</v>
      </c>
      <c r="H9" s="135">
        <f t="shared" si="2"/>
        <v>230000</v>
      </c>
      <c r="I9" s="135"/>
      <c r="J9" s="135">
        <v>1</v>
      </c>
      <c r="K9" s="137">
        <f t="shared" si="1"/>
        <v>23519.41183938611</v>
      </c>
      <c r="L9" s="138">
        <v>1.74509568424322E-2</v>
      </c>
      <c r="M9" s="139">
        <v>1E-3</v>
      </c>
      <c r="N9" s="135">
        <v>869</v>
      </c>
    </row>
  </sheetData>
  <sheetProtection password="B631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70" zoomScaleNormal="70" workbookViewId="0">
      <selection activeCell="E1" sqref="E1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14" t="s">
        <v>13</v>
      </c>
      <c r="B1" s="215"/>
      <c r="C1" s="215"/>
      <c r="D1" s="216"/>
      <c r="E1" s="70">
        <v>5000</v>
      </c>
      <c r="F1" s="71" t="s">
        <v>8</v>
      </c>
      <c r="G1" s="71" t="s">
        <v>7</v>
      </c>
      <c r="H1" s="72"/>
    </row>
    <row r="2" spans="1:8" x14ac:dyDescent="0.25">
      <c r="A2" s="73"/>
      <c r="B2" s="5"/>
      <c r="C2" s="73"/>
      <c r="D2" s="5"/>
      <c r="E2" s="74"/>
      <c r="F2" s="75"/>
      <c r="G2" s="76"/>
      <c r="H2" s="5"/>
    </row>
    <row r="3" spans="1:8" x14ac:dyDescent="0.25">
      <c r="A3" s="209" t="s">
        <v>30</v>
      </c>
      <c r="B3" s="210"/>
      <c r="C3" s="210"/>
      <c r="D3" s="211"/>
      <c r="E3" s="10"/>
      <c r="F3" s="11"/>
      <c r="G3" s="10"/>
      <c r="H3" s="72"/>
    </row>
    <row r="4" spans="1:8" x14ac:dyDescent="0.25">
      <c r="A4" s="73"/>
      <c r="B4" s="5"/>
      <c r="C4" s="73"/>
      <c r="D4" s="5"/>
      <c r="E4" s="78"/>
      <c r="F4" s="75"/>
      <c r="G4" s="76"/>
      <c r="H4" s="5"/>
    </row>
    <row r="5" spans="1:8" x14ac:dyDescent="0.25">
      <c r="A5" s="209" t="s">
        <v>29</v>
      </c>
      <c r="B5" s="210"/>
      <c r="C5" s="210"/>
      <c r="D5" s="211"/>
      <c r="E5" s="10"/>
      <c r="F5" s="11"/>
      <c r="G5" s="11"/>
      <c r="H5" s="72"/>
    </row>
    <row r="6" spans="1:8" x14ac:dyDescent="0.25">
      <c r="A6" s="73"/>
      <c r="B6" s="5"/>
      <c r="C6" s="73"/>
      <c r="D6" s="5"/>
      <c r="E6" s="79"/>
      <c r="F6" s="75"/>
      <c r="G6" s="76"/>
      <c r="H6" s="5"/>
    </row>
    <row r="7" spans="1:8" x14ac:dyDescent="0.25">
      <c r="A7" s="209" t="s">
        <v>31</v>
      </c>
      <c r="B7" s="210"/>
      <c r="C7" s="210"/>
      <c r="D7" s="211"/>
      <c r="E7" s="10"/>
      <c r="F7" s="11"/>
      <c r="G7" s="11"/>
      <c r="H7" s="72"/>
    </row>
    <row r="8" spans="1:8" x14ac:dyDescent="0.25">
      <c r="A8" s="73"/>
      <c r="B8" s="5"/>
      <c r="C8" s="73"/>
      <c r="D8" s="5"/>
      <c r="E8" s="78"/>
      <c r="F8" s="75"/>
      <c r="G8" s="76"/>
      <c r="H8" s="5"/>
    </row>
    <row r="9" spans="1:8" x14ac:dyDescent="0.25">
      <c r="A9" s="209" t="s">
        <v>52</v>
      </c>
      <c r="B9" s="210"/>
      <c r="C9" s="210"/>
      <c r="D9" s="211"/>
      <c r="E9" s="80"/>
      <c r="F9" s="11"/>
      <c r="G9" s="11"/>
      <c r="H9" s="72"/>
    </row>
    <row r="10" spans="1:8" x14ac:dyDescent="0.25">
      <c r="A10" s="81"/>
      <c r="B10" s="15"/>
      <c r="C10" s="81"/>
      <c r="D10" s="82"/>
      <c r="E10" s="56"/>
      <c r="F10" s="75"/>
      <c r="G10" s="83"/>
      <c r="H10" s="15"/>
    </row>
    <row r="11" spans="1:8" x14ac:dyDescent="0.25">
      <c r="A11" s="81"/>
      <c r="B11" s="15"/>
      <c r="C11" s="81"/>
      <c r="D11" s="84"/>
      <c r="E11" s="56"/>
      <c r="F11" s="75"/>
      <c r="G11" s="85"/>
      <c r="H11" s="15"/>
    </row>
    <row r="12" spans="1:8" x14ac:dyDescent="0.25">
      <c r="A12" s="209" t="s">
        <v>51</v>
      </c>
      <c r="B12" s="210"/>
      <c r="C12" s="210"/>
      <c r="D12" s="211"/>
      <c r="E12" s="17"/>
      <c r="F12" s="17"/>
      <c r="G12" s="18"/>
      <c r="H12" s="15"/>
    </row>
    <row r="13" spans="1:8" x14ac:dyDescent="0.25">
      <c r="A13" s="57"/>
      <c r="B13" s="57"/>
      <c r="C13" s="57"/>
      <c r="D13" s="57"/>
      <c r="E13" s="86"/>
      <c r="F13" s="87"/>
      <c r="G13" s="88"/>
      <c r="H13" s="15"/>
    </row>
    <row r="14" spans="1:8" x14ac:dyDescent="0.25">
      <c r="A14" s="209" t="s">
        <v>38</v>
      </c>
      <c r="B14" s="210"/>
      <c r="C14" s="210"/>
      <c r="D14" s="211"/>
      <c r="E14" s="68"/>
      <c r="F14" s="69"/>
      <c r="G14" s="18"/>
      <c r="H14" s="15"/>
    </row>
    <row r="15" spans="1:8" x14ac:dyDescent="0.25">
      <c r="A15" s="77"/>
      <c r="B15" s="77"/>
      <c r="C15" s="77"/>
      <c r="D15" s="77"/>
      <c r="E15" s="89"/>
      <c r="F15" s="87"/>
      <c r="G15" s="88"/>
      <c r="H15" s="15"/>
    </row>
    <row r="16" spans="1:8" x14ac:dyDescent="0.25">
      <c r="A16" s="209" t="s">
        <v>50</v>
      </c>
      <c r="B16" s="210"/>
      <c r="C16" s="210"/>
      <c r="D16" s="211"/>
      <c r="E16" s="25"/>
      <c r="F16" s="11"/>
      <c r="G16" s="11"/>
      <c r="H16" s="15"/>
    </row>
    <row r="17" spans="1:8" x14ac:dyDescent="0.25">
      <c r="A17" s="57"/>
      <c r="B17" s="57"/>
      <c r="C17" s="57"/>
      <c r="D17" s="57"/>
      <c r="E17" s="145"/>
      <c r="F17" s="146"/>
      <c r="G17" s="146"/>
      <c r="H17" s="15"/>
    </row>
    <row r="18" spans="1:8" x14ac:dyDescent="0.25">
      <c r="A18" s="57" t="s">
        <v>37</v>
      </c>
      <c r="B18" s="57"/>
      <c r="C18" s="57"/>
      <c r="D18" s="57"/>
      <c r="E18" s="145"/>
      <c r="F18" s="146"/>
      <c r="G18" s="146"/>
      <c r="H18" s="15"/>
    </row>
    <row r="19" spans="1:8" x14ac:dyDescent="0.25">
      <c r="A19" s="57"/>
      <c r="B19" s="57"/>
      <c r="C19" s="57"/>
      <c r="D19" s="57"/>
      <c r="E19" s="90"/>
      <c r="F19" s="87"/>
      <c r="G19" s="88"/>
      <c r="H19" s="15"/>
    </row>
    <row r="20" spans="1:8" ht="30.6" x14ac:dyDescent="0.25">
      <c r="A20" s="212" t="s">
        <v>5</v>
      </c>
      <c r="B20" s="213"/>
      <c r="C20" s="91" t="s">
        <v>0</v>
      </c>
      <c r="D20" s="92" t="s">
        <v>25</v>
      </c>
      <c r="E20" s="93" t="s">
        <v>10</v>
      </c>
      <c r="F20" s="93" t="s">
        <v>9</v>
      </c>
      <c r="G20" s="93" t="s">
        <v>11</v>
      </c>
      <c r="H20" s="93" t="s">
        <v>24</v>
      </c>
    </row>
    <row r="21" spans="1:8" x14ac:dyDescent="0.25">
      <c r="A21" s="172" t="s">
        <v>16</v>
      </c>
      <c r="B21" s="173"/>
      <c r="C21" s="48">
        <f>IF(ISERROR(L16),"",L16)</f>
        <v>0</v>
      </c>
      <c r="D21" s="48">
        <f>IF(ISERROR(L12),"",L12)</f>
        <v>0</v>
      </c>
      <c r="E21" s="65">
        <f>IF(ISERROR(L14),"",L14)</f>
        <v>0</v>
      </c>
      <c r="F21" s="27" t="str">
        <f>IF(ISERROR(D21/#REF!),"",D21/#REF!)</f>
        <v/>
      </c>
      <c r="G21" s="28" t="str">
        <f>IF(ISERROR(D21/#REF!/F$3),"",D21/#REF!/F$3)</f>
        <v/>
      </c>
      <c r="H21" s="28" t="str">
        <f>IF(ISERROR(C21/F$3),"",C21/F$3)</f>
        <v/>
      </c>
    </row>
    <row r="22" spans="1:8" x14ac:dyDescent="0.25">
      <c r="A22" s="172" t="s">
        <v>6</v>
      </c>
      <c r="B22" s="173"/>
      <c r="C22" s="49">
        <f>IF(ISERROR(M16),"",M16)</f>
        <v>0</v>
      </c>
      <c r="D22" s="49">
        <f>IF(ISERROR(M12),"",M12)</f>
        <v>0</v>
      </c>
      <c r="E22" s="66">
        <f>IF(ISERROR(M14),"",M14)</f>
        <v>0</v>
      </c>
      <c r="F22" s="27" t="str">
        <f>IF(ISERROR(D22/#REF!),"",D22/#REF!)</f>
        <v/>
      </c>
      <c r="G22" s="28" t="str">
        <f>IF(ISERROR(D22/#REF!/F$3),"",D22/#REF!/F$3)</f>
        <v/>
      </c>
      <c r="H22" s="28" t="str">
        <f>IF(ISERROR(C22/F$3),"",C22/F$3)</f>
        <v/>
      </c>
    </row>
    <row r="23" spans="1:8" x14ac:dyDescent="0.25">
      <c r="A23" s="172" t="s">
        <v>14</v>
      </c>
      <c r="B23" s="173"/>
      <c r="C23" s="49">
        <f>IF(ISERROR(N16),"",N16)</f>
        <v>0</v>
      </c>
      <c r="D23" s="49">
        <f>IF(ISERROR(N12),"",N12)</f>
        <v>0</v>
      </c>
      <c r="E23" s="66">
        <f>IF(ISERROR(N14),"",N14)</f>
        <v>0</v>
      </c>
      <c r="F23" s="27" t="str">
        <f>IF(ISERROR(D23/#REF!),"",D23/#REF!)</f>
        <v/>
      </c>
      <c r="G23" s="28" t="str">
        <f>IF(ISERROR(D23/#REF!/F$3),"",D23/#REF!/F$3)</f>
        <v/>
      </c>
      <c r="H23" s="28" t="str">
        <f>IF(ISERROR(C23/F$3),"",C23/F$3)</f>
        <v/>
      </c>
    </row>
    <row r="24" spans="1:8" x14ac:dyDescent="0.25">
      <c r="A24" s="172" t="s">
        <v>15</v>
      </c>
      <c r="B24" s="173"/>
      <c r="C24" s="49">
        <f>IF(ISERROR(O16),"",O16)</f>
        <v>0</v>
      </c>
      <c r="D24" s="49">
        <f>IF(ISERROR(O12),"",O12)</f>
        <v>0</v>
      </c>
      <c r="E24" s="66">
        <f>IF(ISERROR(O14),"",O14)</f>
        <v>0</v>
      </c>
      <c r="F24" s="27" t="str">
        <f>IF(ISERROR(D24/#REF!),"",D24/#REF!)</f>
        <v/>
      </c>
      <c r="G24" s="28" t="str">
        <f>IF(ISERROR(D24/#REF!/F$3),"",D24/#REF!/F$3)</f>
        <v/>
      </c>
      <c r="H24" s="28" t="str">
        <f>IF(ISERROR(C24/F$3),"",C24/F$3)</f>
        <v/>
      </c>
    </row>
    <row r="25" spans="1:8" x14ac:dyDescent="0.25">
      <c r="A25" s="73"/>
      <c r="B25" s="57"/>
      <c r="C25" s="73"/>
      <c r="D25" s="94"/>
      <c r="E25" s="95"/>
      <c r="F25" s="96"/>
      <c r="G25" s="75"/>
      <c r="H25" s="9"/>
    </row>
    <row r="26" spans="1:8" ht="13.8" thickBot="1" x14ac:dyDescent="0.3">
      <c r="A26" s="97"/>
      <c r="B26" s="57"/>
      <c r="C26" s="97"/>
      <c r="D26" s="98"/>
      <c r="E26" s="99"/>
      <c r="F26" s="88"/>
      <c r="G26" s="87"/>
      <c r="H26" s="15"/>
    </row>
    <row r="27" spans="1:8" ht="18" thickBot="1" x14ac:dyDescent="0.3">
      <c r="A27" s="202" t="s">
        <v>36</v>
      </c>
      <c r="B27" s="203"/>
      <c r="C27" s="203"/>
      <c r="D27" s="203"/>
      <c r="E27" s="203"/>
      <c r="F27" s="203"/>
      <c r="G27" s="204"/>
      <c r="H27" s="72"/>
    </row>
    <row r="28" spans="1:8" ht="31.2" thickBot="1" x14ac:dyDescent="0.3">
      <c r="A28" s="205" t="s">
        <v>2</v>
      </c>
      <c r="B28" s="206"/>
      <c r="C28" s="100" t="s">
        <v>34</v>
      </c>
      <c r="D28" s="100" t="s">
        <v>32</v>
      </c>
      <c r="E28" s="100" t="s">
        <v>33</v>
      </c>
      <c r="F28" s="207" t="s">
        <v>35</v>
      </c>
      <c r="G28" s="208"/>
      <c r="H28" s="72"/>
    </row>
    <row r="29" spans="1:8" x14ac:dyDescent="0.25">
      <c r="A29" s="5"/>
      <c r="B29" s="5"/>
      <c r="C29" s="5"/>
      <c r="D29" s="5"/>
      <c r="E29" s="5"/>
      <c r="F29" s="76"/>
      <c r="G29" s="75"/>
      <c r="H29" s="72"/>
    </row>
    <row r="30" spans="1:8" x14ac:dyDescent="0.25">
      <c r="A30" s="5" t="s">
        <v>3</v>
      </c>
      <c r="B30" s="101"/>
      <c r="C30" s="102"/>
      <c r="D30" s="201"/>
      <c r="E30" s="201"/>
      <c r="F30" s="201"/>
      <c r="G30" s="75"/>
      <c r="H30" s="72"/>
    </row>
    <row r="31" spans="1:8" x14ac:dyDescent="0.25">
      <c r="A31" s="5" t="s">
        <v>4</v>
      </c>
      <c r="B31" s="103"/>
      <c r="C31" s="5"/>
      <c r="D31" s="41"/>
      <c r="E31" s="42"/>
      <c r="F31" s="104"/>
      <c r="G31" s="75"/>
      <c r="H31" s="72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2" x14ac:dyDescent="0.25">
      <c r="A33" t="s">
        <v>26</v>
      </c>
      <c r="B33">
        <v>30.4</v>
      </c>
    </row>
  </sheetData>
  <sheetProtection password="B631" sheet="1" objects="1" scenarios="1" selectLockedCells="1"/>
  <mergeCells count="17">
    <mergeCell ref="A12:D12"/>
    <mergeCell ref="A14:D14"/>
    <mergeCell ref="A16:D16"/>
    <mergeCell ref="A20:B20"/>
    <mergeCell ref="A1:D1"/>
    <mergeCell ref="A3:D3"/>
    <mergeCell ref="A5:D5"/>
    <mergeCell ref="A7:D7"/>
    <mergeCell ref="A9:D9"/>
    <mergeCell ref="A21:B21"/>
    <mergeCell ref="A22:B22"/>
    <mergeCell ref="D30:F30"/>
    <mergeCell ref="A24:B24"/>
    <mergeCell ref="A27:G27"/>
    <mergeCell ref="A28:B28"/>
    <mergeCell ref="F28:G28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Зустрічна пропозиція</vt:lpstr>
      <vt:lpstr>Лист2</vt:lpstr>
      <vt:lpstr>Назви</vt:lpstr>
      <vt:lpstr>'Зустрічна пропозиція'!Область_печати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Барткевич Олег</cp:lastModifiedBy>
  <cp:lastPrinted>2020-02-12T09:25:28Z</cp:lastPrinted>
  <dcterms:created xsi:type="dcterms:W3CDTF">2008-03-13T06:51:50Z</dcterms:created>
  <dcterms:modified xsi:type="dcterms:W3CDTF">2020-08-28T13:57:22Z</dcterms:modified>
</cp:coreProperties>
</file>