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63"/>
  </bookViews>
  <sheets>
    <sheet name="Головна" sheetId="196" r:id="rId1"/>
    <sheet name="Кредит готівкою ПУМБ" sheetId="187" r:id="rId2"/>
    <sheet name="&quot;Біг Кеш&quot; ПУМБ" sheetId="188" r:id="rId3"/>
    <sheet name="Консолідований Х" sheetId="190" r:id="rId4"/>
    <sheet name="Для Вас Х" sheetId="191" r:id="rId5"/>
    <sheet name="Бюджетний Х" sheetId="192" r:id="rId6"/>
    <sheet name="Пенсійний Х" sheetId="193" r:id="rId7"/>
    <sheet name="Біг Кеш (ОТП) " sheetId="194" r:id="rId8"/>
    <sheet name="Біг Кеш Х2 (ОТП)" sheetId="197" r:id="rId9"/>
    <sheet name="Кредит Маркет" sheetId="195" r:id="rId10"/>
    <sheet name="Смарт Фінанс" sheetId="189" r:id="rId11"/>
    <sheet name="Лист2" sheetId="165" state="hidden" r:id="rId12"/>
    <sheet name="Назви" sheetId="161" state="hidden" r:id="rId13"/>
  </sheets>
  <definedNames>
    <definedName name="_xlnm._FilterDatabase" localSheetId="2" hidden="1">'"Біг Кеш" ПУМБ'!$A$27:$H$89</definedName>
    <definedName name="_xlnm._FilterDatabase" localSheetId="7" hidden="1">'Біг Кеш (ОТП) '!$A$27:$H$89</definedName>
    <definedName name="_xlnm._FilterDatabase" localSheetId="8" hidden="1">'Біг Кеш Х2 (ОТП)'!$A$27:$H$89</definedName>
    <definedName name="_xlnm._FilterDatabase" localSheetId="5" hidden="1">'Бюджетний Х'!$A$27:$H$89</definedName>
    <definedName name="_xlnm._FilterDatabase" localSheetId="4" hidden="1">'Для Вас Х'!$A$27:$H$89</definedName>
    <definedName name="_xlnm._FilterDatabase" localSheetId="3" hidden="1">'Консолідований Х'!$A$27:$H$89</definedName>
    <definedName name="_xlnm._FilterDatabase" localSheetId="1" hidden="1">'Кредит готівкою ПУМБ'!$A$27:$H$89</definedName>
    <definedName name="_xlnm._FilterDatabase" localSheetId="9" hidden="1">'Кредит Маркет'!$A$27:$H$89</definedName>
    <definedName name="_xlnm._FilterDatabase" localSheetId="11" hidden="1">Лист2!$A$3:$O$3</definedName>
    <definedName name="_xlnm._FilterDatabase" localSheetId="6" hidden="1">'Пенсійний Х'!$A$27:$H$89</definedName>
    <definedName name="_xlnm._FilterDatabase" localSheetId="10" hidden="1">'Смарт Фінанс'!$A$27:$H$89</definedName>
    <definedName name="_xlnm.Print_Area" localSheetId="2">'"Біг Кеш" ПУМБ'!$A$1:$J$92</definedName>
    <definedName name="_xlnm.Print_Area" localSheetId="7">'Біг Кеш (ОТП) '!$A$1:$J$92</definedName>
    <definedName name="_xlnm.Print_Area" localSheetId="8">'Біг Кеш Х2 (ОТП)'!$A$1:$J$92</definedName>
    <definedName name="_xlnm.Print_Area" localSheetId="5">'Бюджетний Х'!$A$1:$J$92</definedName>
    <definedName name="_xlnm.Print_Area" localSheetId="4">'Для Вас Х'!$A$1:$J$92</definedName>
    <definedName name="_xlnm.Print_Area" localSheetId="3">'Консолідований Х'!$A$1:$J$92</definedName>
    <definedName name="_xlnm.Print_Area" localSheetId="1">'Кредит готівкою ПУМБ'!$A$1:$J$92</definedName>
    <definedName name="_xlnm.Print_Area" localSheetId="9">'Кредит Маркет'!$A$1:$J$92</definedName>
    <definedName name="_xlnm.Print_Area" localSheetId="6">'Пенсійний Х'!$A$1:$J$92</definedName>
    <definedName name="_xlnm.Print_Area" localSheetId="10">'Смарт Фінанс'!$A$1:$J$92</definedName>
  </definedNames>
  <calcPr calcId="145621"/>
</workbook>
</file>

<file path=xl/calcChain.xml><?xml version="1.0" encoding="utf-8"?>
<calcChain xmlns="http://schemas.openxmlformats.org/spreadsheetml/2006/main">
  <c r="K60" i="197" l="1"/>
  <c r="K61" i="197"/>
  <c r="K62" i="197"/>
  <c r="K63" i="197"/>
  <c r="K64" i="197"/>
  <c r="K65" i="197"/>
  <c r="K66" i="197"/>
  <c r="K67" i="197"/>
  <c r="K68" i="197"/>
  <c r="K69" i="197"/>
  <c r="K70" i="197"/>
  <c r="K57" i="165"/>
  <c r="K58" i="165"/>
  <c r="K59" i="165"/>
  <c r="K60" i="165"/>
  <c r="K61" i="165"/>
  <c r="K62" i="165"/>
  <c r="H62" i="165"/>
  <c r="H57" i="165"/>
  <c r="H58" i="165"/>
  <c r="H59" i="165"/>
  <c r="H60" i="165"/>
  <c r="H61" i="165"/>
  <c r="G58" i="165"/>
  <c r="G59" i="165"/>
  <c r="G60" i="165"/>
  <c r="G61" i="165"/>
  <c r="G62" i="165"/>
  <c r="G57" i="165"/>
  <c r="K59" i="197" l="1"/>
  <c r="K58" i="197"/>
  <c r="K57" i="197"/>
  <c r="K56" i="197"/>
  <c r="K55" i="197"/>
  <c r="K54" i="197"/>
  <c r="K53" i="197"/>
  <c r="K52" i="197"/>
  <c r="K51" i="197"/>
  <c r="K50" i="197"/>
  <c r="K49" i="197"/>
  <c r="K48" i="197"/>
  <c r="K47" i="197"/>
  <c r="K46" i="197"/>
  <c r="K45" i="197"/>
  <c r="K44" i="197"/>
  <c r="K43" i="197"/>
  <c r="K42" i="197"/>
  <c r="K41" i="197"/>
  <c r="K40" i="197"/>
  <c r="K39" i="197"/>
  <c r="K38" i="197"/>
  <c r="K37" i="197"/>
  <c r="K36" i="197"/>
  <c r="K35" i="197"/>
  <c r="K34" i="197"/>
  <c r="K33" i="197"/>
  <c r="K32" i="197"/>
  <c r="K31" i="197"/>
  <c r="K30" i="197"/>
  <c r="K29" i="197"/>
  <c r="K28" i="197"/>
  <c r="C28" i="197"/>
  <c r="C29" i="197" s="1"/>
  <c r="C30" i="197" s="1"/>
  <c r="C31" i="197" s="1"/>
  <c r="C32" i="197" s="1"/>
  <c r="C33" i="197" s="1"/>
  <c r="C34" i="197" s="1"/>
  <c r="C35" i="197" s="1"/>
  <c r="C36" i="197" s="1"/>
  <c r="C37" i="197" s="1"/>
  <c r="C38" i="197" s="1"/>
  <c r="C39" i="197" s="1"/>
  <c r="C40" i="197" s="1"/>
  <c r="C41" i="197" s="1"/>
  <c r="C42" i="197" s="1"/>
  <c r="C43" i="197" s="1"/>
  <c r="C44" i="197" s="1"/>
  <c r="C45" i="197" s="1"/>
  <c r="C46" i="197" s="1"/>
  <c r="C47" i="197" s="1"/>
  <c r="C48" i="197" s="1"/>
  <c r="C49" i="197" s="1"/>
  <c r="C50" i="197" s="1"/>
  <c r="C51" i="197" s="1"/>
  <c r="C52" i="197" s="1"/>
  <c r="C53" i="197" s="1"/>
  <c r="C54" i="197" s="1"/>
  <c r="C55" i="197" s="1"/>
  <c r="C56" i="197" s="1"/>
  <c r="C57" i="197" s="1"/>
  <c r="C58" i="197" s="1"/>
  <c r="C59" i="197" s="1"/>
  <c r="C60" i="197" s="1"/>
  <c r="C61" i="197" s="1"/>
  <c r="C62" i="197" s="1"/>
  <c r="C63" i="197" s="1"/>
  <c r="C64" i="197" s="1"/>
  <c r="C65" i="197" s="1"/>
  <c r="C66" i="197" s="1"/>
  <c r="C67" i="197" s="1"/>
  <c r="C68" i="197" s="1"/>
  <c r="C69" i="197" s="1"/>
  <c r="C70" i="197" s="1"/>
  <c r="C71" i="197" s="1"/>
  <c r="C72" i="197" s="1"/>
  <c r="C73" i="197" s="1"/>
  <c r="C74" i="197" s="1"/>
  <c r="C75" i="197" s="1"/>
  <c r="C76" i="197" s="1"/>
  <c r="C77" i="197" s="1"/>
  <c r="C78" i="197" s="1"/>
  <c r="C79" i="197" s="1"/>
  <c r="C80" i="197" s="1"/>
  <c r="C81" i="197" s="1"/>
  <c r="C82" i="197" s="1"/>
  <c r="C83" i="197" s="1"/>
  <c r="C84" i="197" s="1"/>
  <c r="C85" i="197" s="1"/>
  <c r="C86" i="197" s="1"/>
  <c r="C87" i="197" s="1"/>
  <c r="C88" i="197" s="1"/>
  <c r="K27" i="197"/>
  <c r="G27" i="197"/>
  <c r="F27" i="197"/>
  <c r="E27" i="197"/>
  <c r="D27" i="197"/>
  <c r="C27" i="197"/>
  <c r="K26" i="197"/>
  <c r="B26" i="197"/>
  <c r="K25" i="197"/>
  <c r="K24" i="197"/>
  <c r="B24" i="197"/>
  <c r="K23" i="197"/>
  <c r="K22" i="197"/>
  <c r="E22" i="197"/>
  <c r="D22" i="197"/>
  <c r="C22" i="197"/>
  <c r="B22" i="197"/>
  <c r="K21" i="197"/>
  <c r="K20" i="197"/>
  <c r="E20" i="197"/>
  <c r="D20" i="197"/>
  <c r="C20" i="197"/>
  <c r="B20" i="197"/>
  <c r="K19" i="197"/>
  <c r="K18" i="197"/>
  <c r="E18" i="197"/>
  <c r="D18" i="197"/>
  <c r="C18" i="197"/>
  <c r="B18" i="197"/>
  <c r="K17" i="197"/>
  <c r="K16" i="197"/>
  <c r="K15" i="197"/>
  <c r="F15" i="197"/>
  <c r="E15" i="197"/>
  <c r="D15" i="197"/>
  <c r="C15" i="197"/>
  <c r="B15" i="197"/>
  <c r="K14" i="197"/>
  <c r="K13" i="197"/>
  <c r="F13" i="197"/>
  <c r="E13" i="197"/>
  <c r="D13" i="197"/>
  <c r="C13" i="197"/>
  <c r="B13" i="197"/>
  <c r="K12" i="197"/>
  <c r="F11" i="197"/>
  <c r="E16" i="197" s="1"/>
  <c r="E11" i="197"/>
  <c r="D11" i="197"/>
  <c r="C11" i="197"/>
  <c r="B11" i="197"/>
  <c r="F9" i="197"/>
  <c r="E9" i="197"/>
  <c r="D9" i="197"/>
  <c r="C9" i="197"/>
  <c r="B9" i="197"/>
  <c r="H3" i="197"/>
  <c r="G3" i="197"/>
  <c r="G2" i="197"/>
  <c r="F2" i="197"/>
  <c r="E2" i="197"/>
  <c r="E3" i="197" s="1"/>
  <c r="G28" i="197" l="1"/>
  <c r="F3" i="197"/>
  <c r="E17" i="197"/>
  <c r="E59" i="197" s="1"/>
  <c r="D87" i="197"/>
  <c r="E86" i="197"/>
  <c r="D83" i="197"/>
  <c r="E82" i="197"/>
  <c r="D79" i="197"/>
  <c r="E78" i="197"/>
  <c r="E66" i="197"/>
  <c r="E57" i="197"/>
  <c r="E41" i="197"/>
  <c r="D86" i="197"/>
  <c r="E85" i="197"/>
  <c r="D82" i="197"/>
  <c r="E81" i="197"/>
  <c r="D78" i="197"/>
  <c r="E77" i="197"/>
  <c r="E69" i="197"/>
  <c r="E61" i="197"/>
  <c r="E88" i="197"/>
  <c r="D85" i="197"/>
  <c r="E84" i="197"/>
  <c r="D81" i="197"/>
  <c r="E80" i="197"/>
  <c r="D77" i="197"/>
  <c r="E76" i="197"/>
  <c r="E68" i="197"/>
  <c r="E60" i="197"/>
  <c r="E54" i="197"/>
  <c r="E52" i="197"/>
  <c r="E46" i="197"/>
  <c r="E44" i="197"/>
  <c r="D88" i="197"/>
  <c r="E87" i="197"/>
  <c r="D84" i="197"/>
  <c r="E83" i="197"/>
  <c r="D80" i="197"/>
  <c r="E79" i="197"/>
  <c r="E75" i="197"/>
  <c r="E67" i="197"/>
  <c r="K13" i="195"/>
  <c r="K14" i="195"/>
  <c r="K15" i="195"/>
  <c r="K16" i="195"/>
  <c r="K17" i="195"/>
  <c r="K18" i="195"/>
  <c r="K19" i="195"/>
  <c r="K20" i="195"/>
  <c r="K21" i="195"/>
  <c r="K22" i="195"/>
  <c r="K23" i="195"/>
  <c r="K24" i="195"/>
  <c r="K25" i="195"/>
  <c r="K26" i="195"/>
  <c r="K27" i="195"/>
  <c r="K28" i="195"/>
  <c r="K29" i="195"/>
  <c r="K30" i="195"/>
  <c r="K31" i="195"/>
  <c r="K32" i="195"/>
  <c r="K33" i="195"/>
  <c r="K34" i="195"/>
  <c r="K35" i="195"/>
  <c r="K36" i="195"/>
  <c r="K37" i="195"/>
  <c r="K38" i="195"/>
  <c r="K39" i="195"/>
  <c r="K40" i="195"/>
  <c r="K41" i="195"/>
  <c r="K42" i="195"/>
  <c r="K43" i="195"/>
  <c r="K44" i="195"/>
  <c r="K45" i="195"/>
  <c r="K46" i="195"/>
  <c r="K47" i="195"/>
  <c r="K48" i="195"/>
  <c r="K49" i="195"/>
  <c r="K50" i="195"/>
  <c r="K51" i="195"/>
  <c r="K52" i="195"/>
  <c r="K53" i="195"/>
  <c r="K54" i="195"/>
  <c r="K55" i="195"/>
  <c r="K56" i="195"/>
  <c r="K57" i="195"/>
  <c r="K58" i="195"/>
  <c r="K59" i="195"/>
  <c r="K60" i="195"/>
  <c r="K61" i="195"/>
  <c r="K62" i="195"/>
  <c r="K63" i="195"/>
  <c r="K64" i="195"/>
  <c r="K65" i="195"/>
  <c r="K66" i="195"/>
  <c r="K67" i="195"/>
  <c r="K68" i="195"/>
  <c r="K69" i="195"/>
  <c r="K70" i="195"/>
  <c r="K71" i="195"/>
  <c r="K72" i="195"/>
  <c r="K73" i="195"/>
  <c r="K74" i="195"/>
  <c r="K75" i="195"/>
  <c r="K76" i="195"/>
  <c r="K77" i="195"/>
  <c r="K78" i="195"/>
  <c r="K79" i="195"/>
  <c r="K80" i="195"/>
  <c r="K81" i="195"/>
  <c r="K82" i="195"/>
  <c r="K83" i="195"/>
  <c r="K84" i="195"/>
  <c r="K85" i="195"/>
  <c r="K86" i="195"/>
  <c r="K87" i="195"/>
  <c r="K88" i="195"/>
  <c r="G52" i="165"/>
  <c r="H52" i="165"/>
  <c r="K52" i="165" s="1"/>
  <c r="G53" i="165"/>
  <c r="H53" i="165"/>
  <c r="K53" i="165" s="1"/>
  <c r="G54" i="165"/>
  <c r="H54" i="165"/>
  <c r="K54" i="165" s="1"/>
  <c r="G55" i="165"/>
  <c r="H55" i="165"/>
  <c r="K55" i="165" s="1"/>
  <c r="G56" i="165"/>
  <c r="H56" i="165"/>
  <c r="K56" i="165" s="1"/>
  <c r="E30" i="197" l="1"/>
  <c r="E39" i="197"/>
  <c r="E38" i="197"/>
  <c r="E31" i="197"/>
  <c r="E36" i="197"/>
  <c r="E33" i="197"/>
  <c r="E74" i="197"/>
  <c r="E47" i="197"/>
  <c r="E49" i="197"/>
  <c r="E55" i="197"/>
  <c r="F18" i="197"/>
  <c r="E32" i="197"/>
  <c r="E40" i="197"/>
  <c r="E48" i="197"/>
  <c r="E56" i="197"/>
  <c r="E64" i="197"/>
  <c r="E72" i="197"/>
  <c r="E35" i="197"/>
  <c r="E43" i="197"/>
  <c r="E51" i="197"/>
  <c r="F29" i="197"/>
  <c r="E63" i="197"/>
  <c r="E71" i="197"/>
  <c r="E34" i="197"/>
  <c r="E42" i="197"/>
  <c r="E50" i="197"/>
  <c r="E58" i="197"/>
  <c r="E65" i="197"/>
  <c r="E73" i="197"/>
  <c r="E29" i="197"/>
  <c r="E37" i="197"/>
  <c r="E45" i="197"/>
  <c r="E53" i="197"/>
  <c r="E62" i="197"/>
  <c r="E70" i="197"/>
  <c r="C28" i="195"/>
  <c r="C29" i="195" s="1"/>
  <c r="C30" i="195" s="1"/>
  <c r="C31" i="195" s="1"/>
  <c r="C32" i="195" s="1"/>
  <c r="C33" i="195" s="1"/>
  <c r="C34" i="195" s="1"/>
  <c r="C35" i="195" s="1"/>
  <c r="C36" i="195" s="1"/>
  <c r="C37" i="195" s="1"/>
  <c r="C38" i="195" s="1"/>
  <c r="C39" i="195" s="1"/>
  <c r="C40" i="195" s="1"/>
  <c r="C41" i="195" s="1"/>
  <c r="C42" i="195" s="1"/>
  <c r="C43" i="195" s="1"/>
  <c r="C44" i="195" s="1"/>
  <c r="C45" i="195" s="1"/>
  <c r="C46" i="195" s="1"/>
  <c r="C47" i="195" s="1"/>
  <c r="C48" i="195" s="1"/>
  <c r="C49" i="195" s="1"/>
  <c r="C50" i="195" s="1"/>
  <c r="C51" i="195" s="1"/>
  <c r="C52" i="195" s="1"/>
  <c r="C53" i="195" s="1"/>
  <c r="C54" i="195" s="1"/>
  <c r="C55" i="195" s="1"/>
  <c r="C56" i="195" s="1"/>
  <c r="C57" i="195" s="1"/>
  <c r="C58" i="195" s="1"/>
  <c r="C59" i="195" s="1"/>
  <c r="C60" i="195" s="1"/>
  <c r="C61" i="195" s="1"/>
  <c r="C62" i="195" s="1"/>
  <c r="C63" i="195" s="1"/>
  <c r="C64" i="195" s="1"/>
  <c r="C65" i="195" s="1"/>
  <c r="C66" i="195" s="1"/>
  <c r="C67" i="195" s="1"/>
  <c r="C68" i="195" s="1"/>
  <c r="C69" i="195" s="1"/>
  <c r="C70" i="195" s="1"/>
  <c r="C71" i="195" s="1"/>
  <c r="C72" i="195" s="1"/>
  <c r="C73" i="195" s="1"/>
  <c r="C74" i="195" s="1"/>
  <c r="C75" i="195" s="1"/>
  <c r="C76" i="195" s="1"/>
  <c r="C77" i="195" s="1"/>
  <c r="C78" i="195" s="1"/>
  <c r="C79" i="195" s="1"/>
  <c r="C80" i="195" s="1"/>
  <c r="C81" i="195" s="1"/>
  <c r="C82" i="195" s="1"/>
  <c r="C83" i="195" s="1"/>
  <c r="C84" i="195" s="1"/>
  <c r="C85" i="195" s="1"/>
  <c r="C86" i="195" s="1"/>
  <c r="C87" i="195" s="1"/>
  <c r="C88" i="195" s="1"/>
  <c r="G27" i="195"/>
  <c r="F27" i="195"/>
  <c r="E27" i="195"/>
  <c r="D27" i="195"/>
  <c r="C27" i="195"/>
  <c r="B26" i="195"/>
  <c r="B24" i="195"/>
  <c r="E22" i="195"/>
  <c r="D22" i="195"/>
  <c r="C22" i="195"/>
  <c r="B22" i="195"/>
  <c r="E20" i="195"/>
  <c r="D20" i="195"/>
  <c r="C20" i="195"/>
  <c r="B20" i="195"/>
  <c r="E18" i="195"/>
  <c r="D18" i="195"/>
  <c r="C18" i="195"/>
  <c r="B18" i="195"/>
  <c r="F15" i="195"/>
  <c r="D87" i="195" s="1"/>
  <c r="E15" i="195"/>
  <c r="D15" i="195"/>
  <c r="C15" i="195"/>
  <c r="B15" i="195"/>
  <c r="F13" i="195"/>
  <c r="E13" i="195"/>
  <c r="D13" i="195"/>
  <c r="C13" i="195"/>
  <c r="B13" i="195"/>
  <c r="K12" i="195"/>
  <c r="K11" i="195"/>
  <c r="F11" i="195"/>
  <c r="E16" i="195" s="1"/>
  <c r="E11" i="195"/>
  <c r="D11" i="195"/>
  <c r="C11" i="195"/>
  <c r="B11" i="195"/>
  <c r="F9" i="195"/>
  <c r="E9" i="195"/>
  <c r="D9" i="195"/>
  <c r="C9" i="195"/>
  <c r="B9" i="195"/>
  <c r="H3" i="195"/>
  <c r="G3" i="195"/>
  <c r="G2" i="195"/>
  <c r="F2" i="195"/>
  <c r="E2" i="195"/>
  <c r="K59" i="194"/>
  <c r="K58" i="194"/>
  <c r="K57" i="194"/>
  <c r="K56" i="194"/>
  <c r="K55" i="194"/>
  <c r="K54" i="194"/>
  <c r="K53" i="194"/>
  <c r="K52" i="194"/>
  <c r="K51" i="194"/>
  <c r="K50" i="194"/>
  <c r="K49" i="194"/>
  <c r="K48" i="194"/>
  <c r="K47" i="194"/>
  <c r="K46" i="194"/>
  <c r="K45" i="194"/>
  <c r="K44" i="194"/>
  <c r="K43" i="194"/>
  <c r="K42" i="194"/>
  <c r="K41" i="194"/>
  <c r="K40" i="194"/>
  <c r="K39" i="194"/>
  <c r="K38" i="194"/>
  <c r="K37" i="194"/>
  <c r="K36" i="194"/>
  <c r="K35" i="194"/>
  <c r="K34" i="194"/>
  <c r="K33" i="194"/>
  <c r="K32" i="194"/>
  <c r="K31" i="194"/>
  <c r="K30" i="194"/>
  <c r="K29" i="194"/>
  <c r="K28" i="194"/>
  <c r="C28" i="194"/>
  <c r="C29" i="194" s="1"/>
  <c r="C30" i="194" s="1"/>
  <c r="C31" i="194" s="1"/>
  <c r="C32" i="194" s="1"/>
  <c r="C33" i="194" s="1"/>
  <c r="C34" i="194" s="1"/>
  <c r="C35" i="194" s="1"/>
  <c r="C36" i="194" s="1"/>
  <c r="C37" i="194" s="1"/>
  <c r="C38" i="194" s="1"/>
  <c r="C39" i="194" s="1"/>
  <c r="C40" i="194" s="1"/>
  <c r="C41" i="194" s="1"/>
  <c r="C42" i="194" s="1"/>
  <c r="C43" i="194" s="1"/>
  <c r="C44" i="194" s="1"/>
  <c r="C45" i="194" s="1"/>
  <c r="C46" i="194" s="1"/>
  <c r="C47" i="194" s="1"/>
  <c r="C48" i="194" s="1"/>
  <c r="C49" i="194" s="1"/>
  <c r="C50" i="194" s="1"/>
  <c r="C51" i="194" s="1"/>
  <c r="C52" i="194" s="1"/>
  <c r="C53" i="194" s="1"/>
  <c r="C54" i="194" s="1"/>
  <c r="C55" i="194" s="1"/>
  <c r="C56" i="194" s="1"/>
  <c r="C57" i="194" s="1"/>
  <c r="C58" i="194" s="1"/>
  <c r="C59" i="194" s="1"/>
  <c r="C60" i="194" s="1"/>
  <c r="C61" i="194" s="1"/>
  <c r="C62" i="194" s="1"/>
  <c r="C63" i="194" s="1"/>
  <c r="C64" i="194" s="1"/>
  <c r="C65" i="194" s="1"/>
  <c r="C66" i="194" s="1"/>
  <c r="C67" i="194" s="1"/>
  <c r="C68" i="194" s="1"/>
  <c r="C69" i="194" s="1"/>
  <c r="C70" i="194" s="1"/>
  <c r="C71" i="194" s="1"/>
  <c r="C72" i="194" s="1"/>
  <c r="C73" i="194" s="1"/>
  <c r="C74" i="194" s="1"/>
  <c r="C75" i="194" s="1"/>
  <c r="C76" i="194" s="1"/>
  <c r="C77" i="194" s="1"/>
  <c r="C78" i="194" s="1"/>
  <c r="C79" i="194" s="1"/>
  <c r="C80" i="194" s="1"/>
  <c r="C81" i="194" s="1"/>
  <c r="C82" i="194" s="1"/>
  <c r="C83" i="194" s="1"/>
  <c r="C84" i="194" s="1"/>
  <c r="C85" i="194" s="1"/>
  <c r="C86" i="194" s="1"/>
  <c r="C87" i="194" s="1"/>
  <c r="C88" i="194" s="1"/>
  <c r="K27" i="194"/>
  <c r="G27" i="194"/>
  <c r="F27" i="194"/>
  <c r="E27" i="194"/>
  <c r="D27" i="194"/>
  <c r="C27" i="194"/>
  <c r="K26" i="194"/>
  <c r="B26" i="194"/>
  <c r="K25" i="194"/>
  <c r="K24" i="194"/>
  <c r="B24" i="194"/>
  <c r="K23" i="194"/>
  <c r="K22" i="194"/>
  <c r="E22" i="194"/>
  <c r="D22" i="194"/>
  <c r="C22" i="194"/>
  <c r="B22" i="194"/>
  <c r="K21" i="194"/>
  <c r="K20" i="194"/>
  <c r="E20" i="194"/>
  <c r="D20" i="194"/>
  <c r="C20" i="194"/>
  <c r="B20" i="194"/>
  <c r="K19" i="194"/>
  <c r="K18" i="194"/>
  <c r="E18" i="194"/>
  <c r="D18" i="194"/>
  <c r="C18" i="194"/>
  <c r="B18" i="194"/>
  <c r="K17" i="194"/>
  <c r="K16" i="194"/>
  <c r="K15" i="194"/>
  <c r="F15" i="194"/>
  <c r="E15" i="194"/>
  <c r="D15" i="194"/>
  <c r="C15" i="194"/>
  <c r="B15" i="194"/>
  <c r="K14" i="194"/>
  <c r="K13" i="194"/>
  <c r="F13" i="194"/>
  <c r="E13" i="194"/>
  <c r="D13" i="194"/>
  <c r="C13" i="194"/>
  <c r="B13" i="194"/>
  <c r="K12" i="194"/>
  <c r="F11" i="194"/>
  <c r="E16" i="194" s="1"/>
  <c r="E11" i="194"/>
  <c r="D11" i="194"/>
  <c r="C11" i="194"/>
  <c r="B11" i="194"/>
  <c r="F9" i="194"/>
  <c r="E9" i="194"/>
  <c r="D9" i="194"/>
  <c r="C9" i="194"/>
  <c r="B9" i="194"/>
  <c r="H3" i="194"/>
  <c r="G3" i="194"/>
  <c r="G2" i="194"/>
  <c r="F2" i="194"/>
  <c r="E2" i="194"/>
  <c r="K59" i="193"/>
  <c r="K58" i="193"/>
  <c r="K57" i="193"/>
  <c r="K56" i="193"/>
  <c r="K55" i="193"/>
  <c r="K54" i="193"/>
  <c r="K53" i="193"/>
  <c r="K52" i="193"/>
  <c r="K51" i="193"/>
  <c r="K50" i="193"/>
  <c r="K49" i="193"/>
  <c r="K48" i="193"/>
  <c r="K47" i="193"/>
  <c r="K46" i="193"/>
  <c r="K45" i="193"/>
  <c r="K44" i="193"/>
  <c r="K43" i="193"/>
  <c r="K42" i="193"/>
  <c r="K41" i="193"/>
  <c r="K40" i="193"/>
  <c r="K39" i="193"/>
  <c r="K38" i="193"/>
  <c r="K37" i="193"/>
  <c r="K36" i="193"/>
  <c r="K35" i="193"/>
  <c r="K34" i="193"/>
  <c r="K33" i="193"/>
  <c r="K32" i="193"/>
  <c r="K31" i="193"/>
  <c r="K30" i="193"/>
  <c r="K29" i="193"/>
  <c r="K28" i="193"/>
  <c r="C28" i="193"/>
  <c r="C29" i="193" s="1"/>
  <c r="C30" i="193" s="1"/>
  <c r="C31" i="193" s="1"/>
  <c r="C32" i="193" s="1"/>
  <c r="C33" i="193" s="1"/>
  <c r="C34" i="193" s="1"/>
  <c r="C35" i="193" s="1"/>
  <c r="C36" i="193" s="1"/>
  <c r="C37" i="193" s="1"/>
  <c r="C38" i="193" s="1"/>
  <c r="C39" i="193" s="1"/>
  <c r="C40" i="193" s="1"/>
  <c r="C41" i="193" s="1"/>
  <c r="C42" i="193" s="1"/>
  <c r="C43" i="193" s="1"/>
  <c r="C44" i="193" s="1"/>
  <c r="C45" i="193" s="1"/>
  <c r="C46" i="193" s="1"/>
  <c r="C47" i="193" s="1"/>
  <c r="C48" i="193" s="1"/>
  <c r="C49" i="193" s="1"/>
  <c r="C50" i="193" s="1"/>
  <c r="C51" i="193" s="1"/>
  <c r="C52" i="193" s="1"/>
  <c r="C53" i="193" s="1"/>
  <c r="C54" i="193" s="1"/>
  <c r="C55" i="193" s="1"/>
  <c r="C56" i="193" s="1"/>
  <c r="C57" i="193" s="1"/>
  <c r="C58" i="193" s="1"/>
  <c r="C59" i="193" s="1"/>
  <c r="C60" i="193" s="1"/>
  <c r="C61" i="193" s="1"/>
  <c r="C62" i="193" s="1"/>
  <c r="C63" i="193" s="1"/>
  <c r="C64" i="193" s="1"/>
  <c r="C65" i="193" s="1"/>
  <c r="C66" i="193" s="1"/>
  <c r="C67" i="193" s="1"/>
  <c r="C68" i="193" s="1"/>
  <c r="C69" i="193" s="1"/>
  <c r="C70" i="193" s="1"/>
  <c r="C71" i="193" s="1"/>
  <c r="C72" i="193" s="1"/>
  <c r="C73" i="193" s="1"/>
  <c r="C74" i="193" s="1"/>
  <c r="C75" i="193" s="1"/>
  <c r="C76" i="193" s="1"/>
  <c r="C77" i="193" s="1"/>
  <c r="C78" i="193" s="1"/>
  <c r="C79" i="193" s="1"/>
  <c r="C80" i="193" s="1"/>
  <c r="C81" i="193" s="1"/>
  <c r="C82" i="193" s="1"/>
  <c r="C83" i="193" s="1"/>
  <c r="C84" i="193" s="1"/>
  <c r="C85" i="193" s="1"/>
  <c r="C86" i="193" s="1"/>
  <c r="C87" i="193" s="1"/>
  <c r="C88" i="193" s="1"/>
  <c r="K27" i="193"/>
  <c r="G27" i="193"/>
  <c r="F27" i="193"/>
  <c r="E27" i="193"/>
  <c r="D27" i="193"/>
  <c r="C27" i="193"/>
  <c r="K26" i="193"/>
  <c r="B26" i="193"/>
  <c r="K25" i="193"/>
  <c r="K24" i="193"/>
  <c r="B24" i="193"/>
  <c r="K23" i="193"/>
  <c r="K22" i="193"/>
  <c r="E22" i="193"/>
  <c r="D22" i="193"/>
  <c r="C22" i="193"/>
  <c r="B22" i="193"/>
  <c r="K21" i="193"/>
  <c r="K20" i="193"/>
  <c r="E20" i="193"/>
  <c r="D20" i="193"/>
  <c r="C20" i="193"/>
  <c r="B20" i="193"/>
  <c r="K19" i="193"/>
  <c r="K18" i="193"/>
  <c r="E18" i="193"/>
  <c r="D18" i="193"/>
  <c r="C18" i="193"/>
  <c r="B18" i="193"/>
  <c r="K17" i="193"/>
  <c r="K16" i="193"/>
  <c r="K15" i="193"/>
  <c r="F15" i="193"/>
  <c r="E15" i="193"/>
  <c r="D15" i="193"/>
  <c r="C15" i="193"/>
  <c r="B15" i="193"/>
  <c r="K14" i="193"/>
  <c r="K13" i="193"/>
  <c r="F13" i="193"/>
  <c r="E13" i="193"/>
  <c r="D13" i="193"/>
  <c r="C13" i="193"/>
  <c r="B13" i="193"/>
  <c r="K12" i="193"/>
  <c r="F11" i="193"/>
  <c r="E16" i="193" s="1"/>
  <c r="E11" i="193"/>
  <c r="D11" i="193"/>
  <c r="C11" i="193"/>
  <c r="B11" i="193"/>
  <c r="F9" i="193"/>
  <c r="E9" i="193"/>
  <c r="D9" i="193"/>
  <c r="C9" i="193"/>
  <c r="B9" i="193"/>
  <c r="H3" i="193"/>
  <c r="G3" i="193"/>
  <c r="G2" i="193"/>
  <c r="F2" i="193"/>
  <c r="E2" i="193"/>
  <c r="K59" i="192"/>
  <c r="K58" i="192"/>
  <c r="K57" i="192"/>
  <c r="K56" i="192"/>
  <c r="K55" i="192"/>
  <c r="K54" i="192"/>
  <c r="K53" i="192"/>
  <c r="K52" i="192"/>
  <c r="K51" i="192"/>
  <c r="K50" i="192"/>
  <c r="K49" i="192"/>
  <c r="K48" i="192"/>
  <c r="K47" i="192"/>
  <c r="K46" i="192"/>
  <c r="K45" i="192"/>
  <c r="K44" i="192"/>
  <c r="K43" i="192"/>
  <c r="K42" i="192"/>
  <c r="K41" i="192"/>
  <c r="K40" i="192"/>
  <c r="K39" i="192"/>
  <c r="K38" i="192"/>
  <c r="K37" i="192"/>
  <c r="K36" i="192"/>
  <c r="K35" i="192"/>
  <c r="K34" i="192"/>
  <c r="K33" i="192"/>
  <c r="K32" i="192"/>
  <c r="K31" i="192"/>
  <c r="K30" i="192"/>
  <c r="K29" i="192"/>
  <c r="K28" i="192"/>
  <c r="C28" i="192"/>
  <c r="C29" i="192" s="1"/>
  <c r="C30" i="192" s="1"/>
  <c r="C31" i="192" s="1"/>
  <c r="C32" i="192" s="1"/>
  <c r="C33" i="192" s="1"/>
  <c r="C34" i="192" s="1"/>
  <c r="C35" i="192" s="1"/>
  <c r="C36" i="192" s="1"/>
  <c r="C37" i="192" s="1"/>
  <c r="C38" i="192" s="1"/>
  <c r="C39" i="192" s="1"/>
  <c r="C40" i="192" s="1"/>
  <c r="C41" i="192" s="1"/>
  <c r="C42" i="192" s="1"/>
  <c r="C43" i="192" s="1"/>
  <c r="C44" i="192" s="1"/>
  <c r="C45" i="192" s="1"/>
  <c r="C46" i="192" s="1"/>
  <c r="C47" i="192" s="1"/>
  <c r="C48" i="192" s="1"/>
  <c r="C49" i="192" s="1"/>
  <c r="C50" i="192" s="1"/>
  <c r="C51" i="192" s="1"/>
  <c r="C52" i="192" s="1"/>
  <c r="C53" i="192" s="1"/>
  <c r="C54" i="192" s="1"/>
  <c r="C55" i="192" s="1"/>
  <c r="C56" i="192" s="1"/>
  <c r="C57" i="192" s="1"/>
  <c r="C58" i="192" s="1"/>
  <c r="C59" i="192" s="1"/>
  <c r="C60" i="192" s="1"/>
  <c r="C61" i="192" s="1"/>
  <c r="C62" i="192" s="1"/>
  <c r="C63" i="192" s="1"/>
  <c r="C64" i="192" s="1"/>
  <c r="C65" i="192" s="1"/>
  <c r="C66" i="192" s="1"/>
  <c r="C67" i="192" s="1"/>
  <c r="C68" i="192" s="1"/>
  <c r="C69" i="192" s="1"/>
  <c r="C70" i="192" s="1"/>
  <c r="C71" i="192" s="1"/>
  <c r="C72" i="192" s="1"/>
  <c r="C73" i="192" s="1"/>
  <c r="C74" i="192" s="1"/>
  <c r="C75" i="192" s="1"/>
  <c r="C76" i="192" s="1"/>
  <c r="C77" i="192" s="1"/>
  <c r="C78" i="192" s="1"/>
  <c r="C79" i="192" s="1"/>
  <c r="C80" i="192" s="1"/>
  <c r="C81" i="192" s="1"/>
  <c r="C82" i="192" s="1"/>
  <c r="C83" i="192" s="1"/>
  <c r="C84" i="192" s="1"/>
  <c r="C85" i="192" s="1"/>
  <c r="C86" i="192" s="1"/>
  <c r="C87" i="192" s="1"/>
  <c r="C88" i="192" s="1"/>
  <c r="K27" i="192"/>
  <c r="G27" i="192"/>
  <c r="F27" i="192"/>
  <c r="E27" i="192"/>
  <c r="D27" i="192"/>
  <c r="C27" i="192"/>
  <c r="K26" i="192"/>
  <c r="B26" i="192"/>
  <c r="K25" i="192"/>
  <c r="K24" i="192"/>
  <c r="B24" i="192"/>
  <c r="K23" i="192"/>
  <c r="K22" i="192"/>
  <c r="E22" i="192"/>
  <c r="D22" i="192"/>
  <c r="C22" i="192"/>
  <c r="B22" i="192"/>
  <c r="K21" i="192"/>
  <c r="K20" i="192"/>
  <c r="E20" i="192"/>
  <c r="D20" i="192"/>
  <c r="C20" i="192"/>
  <c r="B20" i="192"/>
  <c r="K19" i="192"/>
  <c r="K18" i="192"/>
  <c r="E18" i="192"/>
  <c r="D18" i="192"/>
  <c r="C18" i="192"/>
  <c r="B18" i="192"/>
  <c r="K17" i="192"/>
  <c r="K16" i="192"/>
  <c r="K15" i="192"/>
  <c r="F15" i="192"/>
  <c r="E15" i="192"/>
  <c r="D15" i="192"/>
  <c r="C15" i="192"/>
  <c r="B15" i="192"/>
  <c r="K14" i="192"/>
  <c r="K13" i="192"/>
  <c r="F13" i="192"/>
  <c r="E13" i="192"/>
  <c r="D13" i="192"/>
  <c r="C13" i="192"/>
  <c r="B13" i="192"/>
  <c r="K12" i="192"/>
  <c r="F11" i="192"/>
  <c r="E16" i="192" s="1"/>
  <c r="E11" i="192"/>
  <c r="D11" i="192"/>
  <c r="C11" i="192"/>
  <c r="B11" i="192"/>
  <c r="F9" i="192"/>
  <c r="E9" i="192"/>
  <c r="D9" i="192"/>
  <c r="C9" i="192"/>
  <c r="B9" i="192"/>
  <c r="H3" i="192"/>
  <c r="G3" i="192"/>
  <c r="G2" i="192"/>
  <c r="F2" i="192"/>
  <c r="E2" i="192"/>
  <c r="K59" i="191"/>
  <c r="K58" i="191"/>
  <c r="K56" i="191"/>
  <c r="K57" i="191"/>
  <c r="K45" i="191"/>
  <c r="K46" i="191"/>
  <c r="K47" i="191"/>
  <c r="K48" i="191"/>
  <c r="K49" i="191"/>
  <c r="K50" i="191"/>
  <c r="K51" i="191"/>
  <c r="K52" i="191"/>
  <c r="K53" i="191"/>
  <c r="K54" i="191"/>
  <c r="K55" i="191"/>
  <c r="K44" i="191"/>
  <c r="K43" i="191"/>
  <c r="K42" i="191"/>
  <c r="K41" i="191"/>
  <c r="K40" i="191"/>
  <c r="K39" i="191"/>
  <c r="K38" i="191"/>
  <c r="K37" i="191"/>
  <c r="K36" i="191"/>
  <c r="K35" i="191"/>
  <c r="K34" i="191"/>
  <c r="K33" i="191"/>
  <c r="K32" i="191"/>
  <c r="K31" i="191"/>
  <c r="K30" i="191"/>
  <c r="K29" i="191"/>
  <c r="K28" i="191"/>
  <c r="C28" i="191"/>
  <c r="C29" i="191" s="1"/>
  <c r="C30" i="191" s="1"/>
  <c r="C31" i="191" s="1"/>
  <c r="C32" i="191" s="1"/>
  <c r="C33" i="191" s="1"/>
  <c r="C34" i="191" s="1"/>
  <c r="C35" i="191" s="1"/>
  <c r="C36" i="191" s="1"/>
  <c r="C37" i="191" s="1"/>
  <c r="C38" i="191" s="1"/>
  <c r="C39" i="191" s="1"/>
  <c r="C40" i="191" s="1"/>
  <c r="C41" i="191" s="1"/>
  <c r="C42" i="191" s="1"/>
  <c r="C43" i="191" s="1"/>
  <c r="C44" i="191" s="1"/>
  <c r="C45" i="191" s="1"/>
  <c r="C46" i="191" s="1"/>
  <c r="C47" i="191" s="1"/>
  <c r="C48" i="191" s="1"/>
  <c r="C49" i="191" s="1"/>
  <c r="C50" i="191" s="1"/>
  <c r="C51" i="191" s="1"/>
  <c r="C52" i="191" s="1"/>
  <c r="C53" i="191" s="1"/>
  <c r="C54" i="191" s="1"/>
  <c r="C55" i="191" s="1"/>
  <c r="C56" i="191" s="1"/>
  <c r="C57" i="191" s="1"/>
  <c r="C58" i="191" s="1"/>
  <c r="C59" i="191" s="1"/>
  <c r="C60" i="191" s="1"/>
  <c r="C61" i="191" s="1"/>
  <c r="C62" i="191" s="1"/>
  <c r="C63" i="191" s="1"/>
  <c r="C64" i="191" s="1"/>
  <c r="C65" i="191" s="1"/>
  <c r="C66" i="191" s="1"/>
  <c r="C67" i="191" s="1"/>
  <c r="C68" i="191" s="1"/>
  <c r="C69" i="191" s="1"/>
  <c r="C70" i="191" s="1"/>
  <c r="C71" i="191" s="1"/>
  <c r="C72" i="191" s="1"/>
  <c r="C73" i="191" s="1"/>
  <c r="C74" i="191" s="1"/>
  <c r="C75" i="191" s="1"/>
  <c r="C76" i="191" s="1"/>
  <c r="C77" i="191" s="1"/>
  <c r="C78" i="191" s="1"/>
  <c r="C79" i="191" s="1"/>
  <c r="C80" i="191" s="1"/>
  <c r="C81" i="191" s="1"/>
  <c r="C82" i="191" s="1"/>
  <c r="C83" i="191" s="1"/>
  <c r="C84" i="191" s="1"/>
  <c r="C85" i="191" s="1"/>
  <c r="C86" i="191" s="1"/>
  <c r="C87" i="191" s="1"/>
  <c r="C88" i="191" s="1"/>
  <c r="K27" i="191"/>
  <c r="G27" i="191"/>
  <c r="F27" i="191"/>
  <c r="E27" i="191"/>
  <c r="D27" i="191"/>
  <c r="C27" i="191"/>
  <c r="K26" i="191"/>
  <c r="B26" i="191"/>
  <c r="K25" i="191"/>
  <c r="K24" i="191"/>
  <c r="B24" i="191"/>
  <c r="K23" i="191"/>
  <c r="K22" i="191"/>
  <c r="E22" i="191"/>
  <c r="D22" i="191"/>
  <c r="C22" i="191"/>
  <c r="B22" i="191"/>
  <c r="K21" i="191"/>
  <c r="K20" i="191"/>
  <c r="E20" i="191"/>
  <c r="D20" i="191"/>
  <c r="C20" i="191"/>
  <c r="B20" i="191"/>
  <c r="K19" i="191"/>
  <c r="K18" i="191"/>
  <c r="E18" i="191"/>
  <c r="D18" i="191"/>
  <c r="C18" i="191"/>
  <c r="B18" i="191"/>
  <c r="K17" i="191"/>
  <c r="K16" i="191"/>
  <c r="K15" i="191"/>
  <c r="F15" i="191"/>
  <c r="E15" i="191"/>
  <c r="D15" i="191"/>
  <c r="C15" i="191"/>
  <c r="B15" i="191"/>
  <c r="K14" i="191"/>
  <c r="K13" i="191"/>
  <c r="F13" i="191"/>
  <c r="E13" i="191"/>
  <c r="D13" i="191"/>
  <c r="C13" i="191"/>
  <c r="B13" i="191"/>
  <c r="K12" i="191"/>
  <c r="F11" i="191"/>
  <c r="E16" i="191" s="1"/>
  <c r="E11" i="191"/>
  <c r="D11" i="191"/>
  <c r="C11" i="191"/>
  <c r="B11" i="191"/>
  <c r="F9" i="191"/>
  <c r="E9" i="191"/>
  <c r="D9" i="191"/>
  <c r="C9" i="191"/>
  <c r="B9" i="191"/>
  <c r="H3" i="191"/>
  <c r="G3" i="191"/>
  <c r="G2" i="191"/>
  <c r="F2" i="191"/>
  <c r="E2" i="191"/>
  <c r="K25" i="190"/>
  <c r="K26" i="190"/>
  <c r="K27" i="190"/>
  <c r="K28" i="190"/>
  <c r="K29" i="190"/>
  <c r="K30" i="190"/>
  <c r="K31" i="190"/>
  <c r="K32" i="190"/>
  <c r="K33" i="190"/>
  <c r="K34" i="190"/>
  <c r="K35" i="190"/>
  <c r="K36" i="190"/>
  <c r="K37" i="190"/>
  <c r="K38" i="190"/>
  <c r="K39" i="190"/>
  <c r="K40" i="190"/>
  <c r="K41" i="190"/>
  <c r="K42" i="190"/>
  <c r="K43" i="190"/>
  <c r="K44" i="190"/>
  <c r="K13" i="190"/>
  <c r="K14" i="190"/>
  <c r="K15" i="190"/>
  <c r="K16" i="190"/>
  <c r="K17" i="190"/>
  <c r="K18" i="190"/>
  <c r="K19" i="190"/>
  <c r="K20" i="190"/>
  <c r="K21" i="190"/>
  <c r="K22" i="190"/>
  <c r="K23" i="190"/>
  <c r="K24" i="190"/>
  <c r="C28" i="190"/>
  <c r="C29" i="190" s="1"/>
  <c r="C30" i="190" s="1"/>
  <c r="C31" i="190" s="1"/>
  <c r="C32" i="190" s="1"/>
  <c r="C33" i="190" s="1"/>
  <c r="C34" i="190" s="1"/>
  <c r="C35" i="190" s="1"/>
  <c r="C36" i="190" s="1"/>
  <c r="C37" i="190" s="1"/>
  <c r="C38" i="190" s="1"/>
  <c r="C39" i="190" s="1"/>
  <c r="C40" i="190" s="1"/>
  <c r="C41" i="190" s="1"/>
  <c r="C42" i="190" s="1"/>
  <c r="C43" i="190" s="1"/>
  <c r="C44" i="190" s="1"/>
  <c r="C45" i="190" s="1"/>
  <c r="C46" i="190" s="1"/>
  <c r="C47" i="190" s="1"/>
  <c r="C48" i="190" s="1"/>
  <c r="C49" i="190" s="1"/>
  <c r="C50" i="190" s="1"/>
  <c r="C51" i="190" s="1"/>
  <c r="C52" i="190" s="1"/>
  <c r="C53" i="190" s="1"/>
  <c r="C54" i="190" s="1"/>
  <c r="C55" i="190" s="1"/>
  <c r="C56" i="190" s="1"/>
  <c r="C57" i="190" s="1"/>
  <c r="C58" i="190" s="1"/>
  <c r="C59" i="190" s="1"/>
  <c r="C60" i="190" s="1"/>
  <c r="C61" i="190" s="1"/>
  <c r="C62" i="190" s="1"/>
  <c r="C63" i="190" s="1"/>
  <c r="C64" i="190" s="1"/>
  <c r="C65" i="190" s="1"/>
  <c r="C66" i="190" s="1"/>
  <c r="C67" i="190" s="1"/>
  <c r="C68" i="190" s="1"/>
  <c r="C69" i="190" s="1"/>
  <c r="C70" i="190" s="1"/>
  <c r="C71" i="190" s="1"/>
  <c r="C72" i="190" s="1"/>
  <c r="C73" i="190" s="1"/>
  <c r="C74" i="190" s="1"/>
  <c r="C75" i="190" s="1"/>
  <c r="C76" i="190" s="1"/>
  <c r="C77" i="190" s="1"/>
  <c r="C78" i="190" s="1"/>
  <c r="C79" i="190" s="1"/>
  <c r="C80" i="190" s="1"/>
  <c r="C81" i="190" s="1"/>
  <c r="C82" i="190" s="1"/>
  <c r="C83" i="190" s="1"/>
  <c r="C84" i="190" s="1"/>
  <c r="C85" i="190" s="1"/>
  <c r="C86" i="190" s="1"/>
  <c r="C87" i="190" s="1"/>
  <c r="C88" i="190" s="1"/>
  <c r="G27" i="190"/>
  <c r="F27" i="190"/>
  <c r="E27" i="190"/>
  <c r="D27" i="190"/>
  <c r="C27" i="190"/>
  <c r="B26" i="190"/>
  <c r="B24" i="190"/>
  <c r="E22" i="190"/>
  <c r="D22" i="190"/>
  <c r="C22" i="190"/>
  <c r="B22" i="190"/>
  <c r="E20" i="190"/>
  <c r="D20" i="190"/>
  <c r="C20" i="190"/>
  <c r="B20" i="190"/>
  <c r="E18" i="190"/>
  <c r="D18" i="190"/>
  <c r="C18" i="190"/>
  <c r="B18" i="190"/>
  <c r="F15" i="190"/>
  <c r="E15" i="190"/>
  <c r="D15" i="190"/>
  <c r="C15" i="190"/>
  <c r="B15" i="190"/>
  <c r="F13" i="190"/>
  <c r="E13" i="190"/>
  <c r="D13" i="190"/>
  <c r="C13" i="190"/>
  <c r="B13" i="190"/>
  <c r="K12" i="190"/>
  <c r="F11" i="190"/>
  <c r="E16" i="190" s="1"/>
  <c r="E11" i="190"/>
  <c r="D11" i="190"/>
  <c r="C11" i="190"/>
  <c r="B11" i="190"/>
  <c r="F9" i="190"/>
  <c r="E9" i="190"/>
  <c r="D9" i="190"/>
  <c r="C9" i="190"/>
  <c r="B9" i="190"/>
  <c r="H3" i="190"/>
  <c r="G3" i="190"/>
  <c r="G2" i="190"/>
  <c r="F2" i="190"/>
  <c r="E2" i="190"/>
  <c r="H47" i="165"/>
  <c r="H48" i="165"/>
  <c r="H49" i="165"/>
  <c r="H50" i="165"/>
  <c r="H51" i="165"/>
  <c r="H46" i="165"/>
  <c r="H43" i="165"/>
  <c r="K43" i="165" s="1"/>
  <c r="H44" i="165"/>
  <c r="H45" i="165"/>
  <c r="K45" i="165" s="1"/>
  <c r="H42" i="165"/>
  <c r="H37" i="165"/>
  <c r="K37" i="165" s="1"/>
  <c r="H38" i="165"/>
  <c r="H39" i="165"/>
  <c r="K39" i="165" s="1"/>
  <c r="H40" i="165"/>
  <c r="H41" i="165"/>
  <c r="K41" i="165" s="1"/>
  <c r="H36" i="165"/>
  <c r="K36" i="165" s="1"/>
  <c r="H31" i="165"/>
  <c r="H32" i="165"/>
  <c r="K32" i="165" s="1"/>
  <c r="H33" i="165"/>
  <c r="H34" i="165"/>
  <c r="H35" i="165"/>
  <c r="H30" i="165"/>
  <c r="H25" i="165"/>
  <c r="H26" i="165"/>
  <c r="K26" i="165" s="1"/>
  <c r="H27" i="165"/>
  <c r="H28" i="165"/>
  <c r="H29" i="165"/>
  <c r="H24" i="165"/>
  <c r="K51" i="165"/>
  <c r="G51" i="165"/>
  <c r="K50" i="165"/>
  <c r="G50" i="165"/>
  <c r="K49" i="165"/>
  <c r="G49" i="165"/>
  <c r="K48" i="165"/>
  <c r="G48" i="165"/>
  <c r="K47" i="165"/>
  <c r="G47" i="165"/>
  <c r="K46" i="165"/>
  <c r="G46" i="165"/>
  <c r="G45" i="165"/>
  <c r="K44" i="165"/>
  <c r="G44" i="165"/>
  <c r="G43" i="165"/>
  <c r="K42" i="165"/>
  <c r="G42" i="165"/>
  <c r="G41" i="165"/>
  <c r="K40" i="165"/>
  <c r="G40" i="165"/>
  <c r="G39" i="165"/>
  <c r="K38" i="165"/>
  <c r="G38" i="165"/>
  <c r="G37" i="165"/>
  <c r="G36" i="165"/>
  <c r="K35" i="165"/>
  <c r="G35" i="165"/>
  <c r="K34" i="165"/>
  <c r="G34" i="165"/>
  <c r="K33" i="165"/>
  <c r="G33" i="165"/>
  <c r="G32" i="165"/>
  <c r="K31" i="165"/>
  <c r="G31" i="165"/>
  <c r="K30" i="165"/>
  <c r="G30" i="165"/>
  <c r="K29" i="165"/>
  <c r="G29" i="165"/>
  <c r="K28" i="165"/>
  <c r="G28" i="165"/>
  <c r="K27" i="165"/>
  <c r="G27" i="165"/>
  <c r="G26" i="165"/>
  <c r="K25" i="165"/>
  <c r="G25" i="165"/>
  <c r="K24" i="165"/>
  <c r="G24" i="165"/>
  <c r="E89" i="197" l="1"/>
  <c r="D29" i="197"/>
  <c r="E3" i="192"/>
  <c r="G28" i="192" s="1"/>
  <c r="E3" i="194"/>
  <c r="E17" i="194" s="1"/>
  <c r="E3" i="191"/>
  <c r="F3" i="191" s="1"/>
  <c r="E3" i="195"/>
  <c r="G28" i="195" s="1"/>
  <c r="E3" i="193"/>
  <c r="E17" i="193" s="1"/>
  <c r="E67" i="195"/>
  <c r="D68" i="195"/>
  <c r="E71" i="195"/>
  <c r="D72" i="195"/>
  <c r="E75" i="195"/>
  <c r="D76" i="195"/>
  <c r="E79" i="195"/>
  <c r="D80" i="195"/>
  <c r="E83" i="195"/>
  <c r="D84" i="195"/>
  <c r="E87" i="195"/>
  <c r="D88" i="195"/>
  <c r="D65" i="195"/>
  <c r="E68" i="195"/>
  <c r="D69" i="195"/>
  <c r="E72" i="195"/>
  <c r="D73" i="195"/>
  <c r="E76" i="195"/>
  <c r="D77" i="195"/>
  <c r="E80" i="195"/>
  <c r="D81" i="195"/>
  <c r="E84" i="195"/>
  <c r="D85" i="195"/>
  <c r="E88" i="195"/>
  <c r="E65" i="195"/>
  <c r="D66" i="195"/>
  <c r="E69" i="195"/>
  <c r="D70" i="195"/>
  <c r="E73" i="195"/>
  <c r="D74" i="195"/>
  <c r="E77" i="195"/>
  <c r="D78" i="195"/>
  <c r="E81" i="195"/>
  <c r="D82" i="195"/>
  <c r="E85" i="195"/>
  <c r="D86" i="195"/>
  <c r="E66" i="195"/>
  <c r="D67" i="195"/>
  <c r="E70" i="195"/>
  <c r="D71" i="195"/>
  <c r="E74" i="195"/>
  <c r="D75" i="195"/>
  <c r="E78" i="195"/>
  <c r="D79" i="195"/>
  <c r="E82" i="195"/>
  <c r="D83" i="195"/>
  <c r="E86" i="195"/>
  <c r="D87" i="194"/>
  <c r="E86" i="194"/>
  <c r="D83" i="194"/>
  <c r="E82" i="194"/>
  <c r="D79" i="194"/>
  <c r="E78" i="194"/>
  <c r="D86" i="194"/>
  <c r="E85" i="194"/>
  <c r="D82" i="194"/>
  <c r="E81" i="194"/>
  <c r="D78" i="194"/>
  <c r="E77" i="194"/>
  <c r="E88" i="194"/>
  <c r="D85" i="194"/>
  <c r="E84" i="194"/>
  <c r="D81" i="194"/>
  <c r="E80" i="194"/>
  <c r="D77" i="194"/>
  <c r="D88" i="194"/>
  <c r="E87" i="194"/>
  <c r="D84" i="194"/>
  <c r="E83" i="194"/>
  <c r="D80" i="194"/>
  <c r="E79" i="194"/>
  <c r="D87" i="193"/>
  <c r="E86" i="193"/>
  <c r="D83" i="193"/>
  <c r="E82" i="193"/>
  <c r="D79" i="193"/>
  <c r="E78" i="193"/>
  <c r="E74" i="193"/>
  <c r="E70" i="193"/>
  <c r="E66" i="193"/>
  <c r="E62" i="193"/>
  <c r="E59" i="193"/>
  <c r="D86" i="193"/>
  <c r="E85" i="193"/>
  <c r="D82" i="193"/>
  <c r="E81" i="193"/>
  <c r="D78" i="193"/>
  <c r="E77" i="193"/>
  <c r="E73" i="193"/>
  <c r="E69" i="193"/>
  <c r="E65" i="193"/>
  <c r="E61" i="193"/>
  <c r="E88" i="193"/>
  <c r="D85" i="193"/>
  <c r="E84" i="193"/>
  <c r="D81" i="193"/>
  <c r="E80" i="193"/>
  <c r="D77" i="193"/>
  <c r="E76" i="193"/>
  <c r="E72" i="193"/>
  <c r="E68" i="193"/>
  <c r="E64" i="193"/>
  <c r="E60" i="193"/>
  <c r="D88" i="193"/>
  <c r="E87" i="193"/>
  <c r="D84" i="193"/>
  <c r="E83" i="193"/>
  <c r="D80" i="193"/>
  <c r="E79" i="193"/>
  <c r="E75" i="193"/>
  <c r="E71" i="193"/>
  <c r="E67" i="193"/>
  <c r="E63" i="193"/>
  <c r="D87" i="192"/>
  <c r="E86" i="192"/>
  <c r="D83" i="192"/>
  <c r="E82" i="192"/>
  <c r="D79" i="192"/>
  <c r="E78" i="192"/>
  <c r="D86" i="192"/>
  <c r="E85" i="192"/>
  <c r="D82" i="192"/>
  <c r="E81" i="192"/>
  <c r="D78" i="192"/>
  <c r="E77" i="192"/>
  <c r="E88" i="192"/>
  <c r="D85" i="192"/>
  <c r="E84" i="192"/>
  <c r="D81" i="192"/>
  <c r="E80" i="192"/>
  <c r="D77" i="192"/>
  <c r="D88" i="192"/>
  <c r="E87" i="192"/>
  <c r="D84" i="192"/>
  <c r="E83" i="192"/>
  <c r="D80" i="192"/>
  <c r="E79" i="192"/>
  <c r="E17" i="191"/>
  <c r="E70" i="191" s="1"/>
  <c r="E86" i="191"/>
  <c r="E82" i="191"/>
  <c r="E78" i="191"/>
  <c r="E85" i="191"/>
  <c r="E81" i="191"/>
  <c r="E77" i="191"/>
  <c r="E88" i="191"/>
  <c r="E84" i="191"/>
  <c r="E80" i="191"/>
  <c r="E87" i="191"/>
  <c r="E83" i="191"/>
  <c r="E79" i="191"/>
  <c r="E3" i="190"/>
  <c r="G28" i="190" s="1"/>
  <c r="G29" i="197" l="1"/>
  <c r="F30" i="197"/>
  <c r="F3" i="194"/>
  <c r="E17" i="192"/>
  <c r="F29" i="192" s="1"/>
  <c r="F3" i="192"/>
  <c r="F3" i="193"/>
  <c r="G28" i="194"/>
  <c r="G28" i="191"/>
  <c r="F3" i="195"/>
  <c r="E43" i="194"/>
  <c r="E64" i="194"/>
  <c r="E48" i="194"/>
  <c r="E32" i="194"/>
  <c r="E45" i="194"/>
  <c r="E76" i="194"/>
  <c r="E60" i="194"/>
  <c r="E44" i="194"/>
  <c r="E53" i="194"/>
  <c r="E52" i="194"/>
  <c r="E72" i="194"/>
  <c r="E56" i="194"/>
  <c r="E40" i="194"/>
  <c r="E68" i="194"/>
  <c r="E36" i="194"/>
  <c r="E37" i="194"/>
  <c r="F18" i="193"/>
  <c r="E55" i="193"/>
  <c r="E30" i="193"/>
  <c r="E45" i="193"/>
  <c r="E46" i="193"/>
  <c r="E47" i="191"/>
  <c r="E64" i="191"/>
  <c r="G28" i="193"/>
  <c r="E31" i="194"/>
  <c r="E56" i="193"/>
  <c r="E68" i="191"/>
  <c r="E33" i="191"/>
  <c r="E53" i="191"/>
  <c r="E38" i="191"/>
  <c r="E69" i="191"/>
  <c r="E74" i="191"/>
  <c r="F29" i="191"/>
  <c r="E17" i="195"/>
  <c r="E59" i="191"/>
  <c r="E73" i="191"/>
  <c r="E30" i="191"/>
  <c r="E41" i="191"/>
  <c r="E46" i="191"/>
  <c r="E17" i="190"/>
  <c r="E46" i="190" s="1"/>
  <c r="E36" i="191"/>
  <c r="E63" i="191"/>
  <c r="E52" i="191"/>
  <c r="E43" i="191"/>
  <c r="E58" i="191"/>
  <c r="E38" i="193"/>
  <c r="E35" i="193"/>
  <c r="E66" i="194"/>
  <c r="F18" i="194"/>
  <c r="E29" i="191"/>
  <c r="E44" i="191"/>
  <c r="E75" i="191"/>
  <c r="E48" i="191"/>
  <c r="E35" i="191"/>
  <c r="E57" i="191"/>
  <c r="E62" i="191"/>
  <c r="E36" i="193"/>
  <c r="E44" i="193"/>
  <c r="E54" i="193"/>
  <c r="E31" i="193"/>
  <c r="E43" i="193"/>
  <c r="E53" i="193"/>
  <c r="E55" i="194"/>
  <c r="E51" i="194"/>
  <c r="E32" i="193"/>
  <c r="E40" i="193"/>
  <c r="E48" i="193"/>
  <c r="E37" i="193"/>
  <c r="E47" i="193"/>
  <c r="E69" i="194"/>
  <c r="E34" i="193"/>
  <c r="E42" i="193"/>
  <c r="E52" i="193"/>
  <c r="E29" i="193"/>
  <c r="E39" i="193"/>
  <c r="E51" i="193"/>
  <c r="E39" i="194"/>
  <c r="E59" i="194"/>
  <c r="E47" i="194"/>
  <c r="E61" i="194"/>
  <c r="F29" i="194"/>
  <c r="E74" i="194"/>
  <c r="E73" i="194"/>
  <c r="E33" i="194"/>
  <c r="E67" i="194"/>
  <c r="E75" i="194"/>
  <c r="E30" i="194"/>
  <c r="E38" i="194"/>
  <c r="E46" i="194"/>
  <c r="E54" i="194"/>
  <c r="E49" i="194"/>
  <c r="E70" i="194"/>
  <c r="E35" i="194"/>
  <c r="E65" i="194"/>
  <c r="E63" i="194"/>
  <c r="E71" i="194"/>
  <c r="E34" i="194"/>
  <c r="E42" i="194"/>
  <c r="E50" i="194"/>
  <c r="E58" i="194"/>
  <c r="E57" i="194"/>
  <c r="E41" i="194"/>
  <c r="E29" i="194"/>
  <c r="E62" i="194"/>
  <c r="E50" i="193"/>
  <c r="E58" i="193"/>
  <c r="E33" i="193"/>
  <c r="E41" i="193"/>
  <c r="E49" i="193"/>
  <c r="E57" i="193"/>
  <c r="F29" i="193"/>
  <c r="E32" i="191"/>
  <c r="E40" i="191"/>
  <c r="E51" i="191"/>
  <c r="E67" i="191"/>
  <c r="E56" i="191"/>
  <c r="E72" i="191"/>
  <c r="E37" i="191"/>
  <c r="E45" i="191"/>
  <c r="E61" i="191"/>
  <c r="E50" i="191"/>
  <c r="E66" i="191"/>
  <c r="F18" i="191"/>
  <c r="E34" i="191"/>
  <c r="E42" i="191"/>
  <c r="E55" i="191"/>
  <c r="E71" i="191"/>
  <c r="E60" i="191"/>
  <c r="E76" i="191"/>
  <c r="E31" i="191"/>
  <c r="E39" i="191"/>
  <c r="E49" i="191"/>
  <c r="E65" i="191"/>
  <c r="E54" i="191"/>
  <c r="F3" i="190"/>
  <c r="E65" i="190"/>
  <c r="E57" i="190" l="1"/>
  <c r="E88" i="190"/>
  <c r="E29" i="190"/>
  <c r="E33" i="192"/>
  <c r="E69" i="192"/>
  <c r="E52" i="192"/>
  <c r="E29" i="192"/>
  <c r="E37" i="192"/>
  <c r="E71" i="192"/>
  <c r="E54" i="192"/>
  <c r="E53" i="192"/>
  <c r="E72" i="192"/>
  <c r="E40" i="192"/>
  <c r="E65" i="192"/>
  <c r="E66" i="192"/>
  <c r="E43" i="192"/>
  <c r="E61" i="192"/>
  <c r="E46" i="192"/>
  <c r="E45" i="192"/>
  <c r="E55" i="192"/>
  <c r="E44" i="192"/>
  <c r="E35" i="192"/>
  <c r="E57" i="192"/>
  <c r="E51" i="192"/>
  <c r="E70" i="192"/>
  <c r="F18" i="192"/>
  <c r="E68" i="192"/>
  <c r="E50" i="192"/>
  <c r="E74" i="192"/>
  <c r="E47" i="192"/>
  <c r="E38" i="192"/>
  <c r="E59" i="192"/>
  <c r="E76" i="192"/>
  <c r="E36" i="192"/>
  <c r="E62" i="192"/>
  <c r="E58" i="192"/>
  <c r="E31" i="192"/>
  <c r="E32" i="192"/>
  <c r="E73" i="192"/>
  <c r="E39" i="192"/>
  <c r="E48" i="192"/>
  <c r="E64" i="192"/>
  <c r="E30" i="192"/>
  <c r="E41" i="192"/>
  <c r="E60" i="192"/>
  <c r="E67" i="192"/>
  <c r="E42" i="192"/>
  <c r="E56" i="192"/>
  <c r="E63" i="192"/>
  <c r="E49" i="192"/>
  <c r="E34" i="192"/>
  <c r="D30" i="197"/>
  <c r="E75" i="192"/>
  <c r="D29" i="191"/>
  <c r="D29" i="192"/>
  <c r="F30" i="192" s="1"/>
  <c r="D30" i="192" s="1"/>
  <c r="E58" i="190"/>
  <c r="E75" i="190"/>
  <c r="E66" i="190"/>
  <c r="E72" i="190"/>
  <c r="E59" i="190"/>
  <c r="E30" i="190"/>
  <c r="E54" i="190"/>
  <c r="E55" i="190"/>
  <c r="E56" i="190"/>
  <c r="E63" i="190"/>
  <c r="E81" i="190"/>
  <c r="E74" i="190"/>
  <c r="F18" i="190"/>
  <c r="E71" i="190"/>
  <c r="E37" i="190"/>
  <c r="E38" i="190"/>
  <c r="E64" i="190"/>
  <c r="E41" i="190"/>
  <c r="E34" i="190"/>
  <c r="E35" i="190"/>
  <c r="E36" i="190"/>
  <c r="E45" i="190"/>
  <c r="E78" i="190"/>
  <c r="E80" i="190"/>
  <c r="E82" i="190"/>
  <c r="E31" i="190"/>
  <c r="E83" i="190"/>
  <c r="E52" i="190"/>
  <c r="E69" i="190"/>
  <c r="E68" i="190"/>
  <c r="E70" i="190"/>
  <c r="E48" i="190"/>
  <c r="E50" i="190"/>
  <c r="E40" i="190"/>
  <c r="E51" i="190"/>
  <c r="E77" i="190"/>
  <c r="E79" i="190"/>
  <c r="E76" i="190"/>
  <c r="E33" i="190"/>
  <c r="E67" i="190"/>
  <c r="E73" i="190"/>
  <c r="E42" i="190"/>
  <c r="E43" i="190"/>
  <c r="E85" i="190"/>
  <c r="E44" i="190"/>
  <c r="E87" i="190"/>
  <c r="E84" i="190"/>
  <c r="E61" i="190"/>
  <c r="E86" i="190"/>
  <c r="E32" i="190"/>
  <c r="E39" i="190"/>
  <c r="E47" i="190"/>
  <c r="E49" i="190"/>
  <c r="E60" i="190"/>
  <c r="E62" i="190"/>
  <c r="F29" i="190"/>
  <c r="E53" i="190"/>
  <c r="F29" i="195"/>
  <c r="F18" i="195"/>
  <c r="E36" i="195"/>
  <c r="E44" i="195"/>
  <c r="E59" i="195"/>
  <c r="E56" i="195"/>
  <c r="E29" i="195"/>
  <c r="E37" i="195"/>
  <c r="E45" i="195"/>
  <c r="E61" i="195"/>
  <c r="E58" i="195"/>
  <c r="E30" i="195"/>
  <c r="E38" i="195"/>
  <c r="E47" i="195"/>
  <c r="E63" i="195"/>
  <c r="E60" i="195"/>
  <c r="E31" i="195"/>
  <c r="E39" i="195"/>
  <c r="E49" i="195"/>
  <c r="E46" i="195"/>
  <c r="E62" i="195"/>
  <c r="E32" i="195"/>
  <c r="E40" i="195"/>
  <c r="E51" i="195"/>
  <c r="E48" i="195"/>
  <c r="E64" i="195"/>
  <c r="E33" i="195"/>
  <c r="E41" i="195"/>
  <c r="E53" i="195"/>
  <c r="E50" i="195"/>
  <c r="E34" i="195"/>
  <c r="E42" i="195"/>
  <c r="E55" i="195"/>
  <c r="E52" i="195"/>
  <c r="E35" i="195"/>
  <c r="E43" i="195"/>
  <c r="E57" i="195"/>
  <c r="E54" i="195"/>
  <c r="E89" i="193"/>
  <c r="E89" i="191"/>
  <c r="E89" i="194"/>
  <c r="D29" i="194"/>
  <c r="D29" i="193"/>
  <c r="G29" i="191"/>
  <c r="F30" i="191"/>
  <c r="D29" i="190" l="1"/>
  <c r="G29" i="190" s="1"/>
  <c r="E89" i="192"/>
  <c r="G30" i="197"/>
  <c r="F31" i="197"/>
  <c r="G29" i="192"/>
  <c r="E89" i="190"/>
  <c r="D29" i="195"/>
  <c r="E89" i="195"/>
  <c r="G29" i="194"/>
  <c r="F30" i="194"/>
  <c r="G29" i="193"/>
  <c r="F30" i="193"/>
  <c r="G30" i="192"/>
  <c r="F31" i="192"/>
  <c r="D30" i="191"/>
  <c r="F30" i="190" l="1"/>
  <c r="D30" i="190" s="1"/>
  <c r="G30" i="190" s="1"/>
  <c r="D31" i="197"/>
  <c r="G29" i="195"/>
  <c r="F30" i="195"/>
  <c r="D30" i="195" s="1"/>
  <c r="F31" i="195" s="1"/>
  <c r="D31" i="195" s="1"/>
  <c r="G31" i="195" s="1"/>
  <c r="D30" i="194"/>
  <c r="D30" i="193"/>
  <c r="D31" i="192"/>
  <c r="G30" i="191"/>
  <c r="F31" i="191"/>
  <c r="F31" i="190" l="1"/>
  <c r="D31" i="190" s="1"/>
  <c r="F32" i="190" s="1"/>
  <c r="D32" i="190" s="1"/>
  <c r="F33" i="190" s="1"/>
  <c r="D33" i="190" s="1"/>
  <c r="G31" i="197"/>
  <c r="F32" i="197"/>
  <c r="G30" i="195"/>
  <c r="F32" i="195"/>
  <c r="D32" i="195" s="1"/>
  <c r="G30" i="194"/>
  <c r="F31" i="194"/>
  <c r="G30" i="193"/>
  <c r="F31" i="193"/>
  <c r="G31" i="192"/>
  <c r="F32" i="192"/>
  <c r="D32" i="192" s="1"/>
  <c r="G32" i="192" s="1"/>
  <c r="D31" i="191"/>
  <c r="G31" i="190" l="1"/>
  <c r="D32" i="197"/>
  <c r="F33" i="195"/>
  <c r="D33" i="195" s="1"/>
  <c r="G33" i="195" s="1"/>
  <c r="G32" i="195"/>
  <c r="D31" i="194"/>
  <c r="D31" i="193"/>
  <c r="F33" i="192"/>
  <c r="D33" i="192" s="1"/>
  <c r="G31" i="191"/>
  <c r="F32" i="191"/>
  <c r="G32" i="190"/>
  <c r="G33" i="190"/>
  <c r="F34" i="190"/>
  <c r="G32" i="197" l="1"/>
  <c r="F33" i="197"/>
  <c r="D33" i="197" s="1"/>
  <c r="G33" i="197" s="1"/>
  <c r="F34" i="195"/>
  <c r="D34" i="195" s="1"/>
  <c r="G34" i="195" s="1"/>
  <c r="G31" i="194"/>
  <c r="F32" i="194"/>
  <c r="G31" i="193"/>
  <c r="F32" i="193"/>
  <c r="G33" i="192"/>
  <c r="F34" i="192"/>
  <c r="D34" i="192" s="1"/>
  <c r="D32" i="191"/>
  <c r="D34" i="190"/>
  <c r="F34" i="197" l="1"/>
  <c r="D34" i="197" s="1"/>
  <c r="F35" i="195"/>
  <c r="D35" i="195" s="1"/>
  <c r="G35" i="195" s="1"/>
  <c r="D32" i="194"/>
  <c r="D32" i="193"/>
  <c r="G34" i="192"/>
  <c r="F35" i="192"/>
  <c r="D35" i="192" s="1"/>
  <c r="G32" i="191"/>
  <c r="F33" i="191"/>
  <c r="D33" i="191" s="1"/>
  <c r="G33" i="191" s="1"/>
  <c r="G34" i="190"/>
  <c r="F35" i="190"/>
  <c r="D35" i="190" s="1"/>
  <c r="G34" i="197" l="1"/>
  <c r="F35" i="197"/>
  <c r="D35" i="197" s="1"/>
  <c r="F36" i="195"/>
  <c r="D36" i="195" s="1"/>
  <c r="G36" i="195" s="1"/>
  <c r="G32" i="194"/>
  <c r="F33" i="194"/>
  <c r="D33" i="194" s="1"/>
  <c r="G33" i="194" s="1"/>
  <c r="G32" i="193"/>
  <c r="F33" i="193"/>
  <c r="G35" i="192"/>
  <c r="F36" i="192"/>
  <c r="D36" i="192" s="1"/>
  <c r="F34" i="191"/>
  <c r="D34" i="191" s="1"/>
  <c r="G35" i="190"/>
  <c r="F36" i="190"/>
  <c r="D36" i="190" s="1"/>
  <c r="G35" i="197" l="1"/>
  <c r="F36" i="197"/>
  <c r="D36" i="197" s="1"/>
  <c r="F37" i="195"/>
  <c r="D37" i="195" s="1"/>
  <c r="G37" i="195" s="1"/>
  <c r="F34" i="194"/>
  <c r="D34" i="194" s="1"/>
  <c r="G34" i="194" s="1"/>
  <c r="D33" i="193"/>
  <c r="G36" i="192"/>
  <c r="F37" i="192"/>
  <c r="D37" i="192" s="1"/>
  <c r="G34" i="191"/>
  <c r="F35" i="191"/>
  <c r="D35" i="191" s="1"/>
  <c r="G36" i="190"/>
  <c r="F37" i="190"/>
  <c r="D37" i="190" s="1"/>
  <c r="G36" i="197" l="1"/>
  <c r="F37" i="197"/>
  <c r="D37" i="197" s="1"/>
  <c r="F38" i="195"/>
  <c r="D38" i="195" s="1"/>
  <c r="G38" i="195" s="1"/>
  <c r="F35" i="194"/>
  <c r="D35" i="194" s="1"/>
  <c r="G35" i="194" s="1"/>
  <c r="G33" i="193"/>
  <c r="F34" i="193"/>
  <c r="D34" i="193" s="1"/>
  <c r="G37" i="192"/>
  <c r="F38" i="192"/>
  <c r="D38" i="192" s="1"/>
  <c r="G35" i="191"/>
  <c r="F36" i="191"/>
  <c r="D36" i="191" s="1"/>
  <c r="G37" i="190"/>
  <c r="F38" i="190"/>
  <c r="D38" i="190" s="1"/>
  <c r="G37" i="197" l="1"/>
  <c r="F38" i="197"/>
  <c r="D38" i="197" s="1"/>
  <c r="F39" i="195"/>
  <c r="D39" i="195" s="1"/>
  <c r="G39" i="195" s="1"/>
  <c r="F36" i="194"/>
  <c r="D36" i="194" s="1"/>
  <c r="G36" i="194" s="1"/>
  <c r="G34" i="193"/>
  <c r="F35" i="193"/>
  <c r="D35" i="193" s="1"/>
  <c r="G38" i="192"/>
  <c r="F39" i="192"/>
  <c r="D39" i="192" s="1"/>
  <c r="G36" i="191"/>
  <c r="F37" i="191"/>
  <c r="D37" i="191" s="1"/>
  <c r="G38" i="190"/>
  <c r="F39" i="190"/>
  <c r="D39" i="190" s="1"/>
  <c r="G38" i="197" l="1"/>
  <c r="F39" i="197"/>
  <c r="D39" i="197" s="1"/>
  <c r="F40" i="195"/>
  <c r="D40" i="195" s="1"/>
  <c r="F41" i="195" s="1"/>
  <c r="D41" i="195" s="1"/>
  <c r="G41" i="195" s="1"/>
  <c r="F37" i="194"/>
  <c r="D37" i="194" s="1"/>
  <c r="G37" i="194" s="1"/>
  <c r="G35" i="193"/>
  <c r="F36" i="193"/>
  <c r="D36" i="193" s="1"/>
  <c r="G39" i="192"/>
  <c r="F40" i="192"/>
  <c r="D40" i="192" s="1"/>
  <c r="G37" i="191"/>
  <c r="F38" i="191"/>
  <c r="D38" i="191" s="1"/>
  <c r="G39" i="190"/>
  <c r="F40" i="190"/>
  <c r="D40" i="190" s="1"/>
  <c r="G39" i="197" l="1"/>
  <c r="F40" i="197"/>
  <c r="D40" i="197" s="1"/>
  <c r="G40" i="195"/>
  <c r="F42" i="195"/>
  <c r="D42" i="195" s="1"/>
  <c r="G42" i="195" s="1"/>
  <c r="F38" i="194"/>
  <c r="D38" i="194" s="1"/>
  <c r="G36" i="193"/>
  <c r="F37" i="193"/>
  <c r="D37" i="193" s="1"/>
  <c r="G40" i="192"/>
  <c r="F41" i="192"/>
  <c r="D41" i="192" s="1"/>
  <c r="G38" i="191"/>
  <c r="F39" i="191"/>
  <c r="D39" i="191" s="1"/>
  <c r="G40" i="190"/>
  <c r="F41" i="190"/>
  <c r="D41" i="190" s="1"/>
  <c r="G40" i="197" l="1"/>
  <c r="F41" i="197"/>
  <c r="D41" i="197" s="1"/>
  <c r="F43" i="195"/>
  <c r="D43" i="195" s="1"/>
  <c r="G43" i="195" s="1"/>
  <c r="G38" i="194"/>
  <c r="F39" i="194"/>
  <c r="D39" i="194" s="1"/>
  <c r="G39" i="194" s="1"/>
  <c r="G37" i="193"/>
  <c r="F38" i="193"/>
  <c r="D38" i="193" s="1"/>
  <c r="G41" i="192"/>
  <c r="F42" i="192"/>
  <c r="D42" i="192" s="1"/>
  <c r="G39" i="191"/>
  <c r="F40" i="191"/>
  <c r="D40" i="191" s="1"/>
  <c r="G41" i="190"/>
  <c r="F42" i="190"/>
  <c r="D42" i="190" s="1"/>
  <c r="G41" i="197" l="1"/>
  <c r="F42" i="197"/>
  <c r="D42" i="197" s="1"/>
  <c r="F44" i="195"/>
  <c r="D44" i="195" s="1"/>
  <c r="G44" i="195" s="1"/>
  <c r="F40" i="194"/>
  <c r="D40" i="194" s="1"/>
  <c r="G40" i="194" s="1"/>
  <c r="G38" i="193"/>
  <c r="F39" i="193"/>
  <c r="D39" i="193" s="1"/>
  <c r="G42" i="192"/>
  <c r="F43" i="192"/>
  <c r="D43" i="192" s="1"/>
  <c r="G40" i="191"/>
  <c r="F41" i="191"/>
  <c r="D41" i="191" s="1"/>
  <c r="G42" i="190"/>
  <c r="F43" i="190"/>
  <c r="D43" i="190" s="1"/>
  <c r="G42" i="197" l="1"/>
  <c r="F43" i="197"/>
  <c r="D43" i="197" s="1"/>
  <c r="F45" i="195"/>
  <c r="D45" i="195" s="1"/>
  <c r="G45" i="195" s="1"/>
  <c r="F41" i="194"/>
  <c r="D41" i="194" s="1"/>
  <c r="G39" i="193"/>
  <c r="F40" i="193"/>
  <c r="D40" i="193" s="1"/>
  <c r="G43" i="192"/>
  <c r="F44" i="192"/>
  <c r="D44" i="192" s="1"/>
  <c r="G41" i="191"/>
  <c r="F42" i="191"/>
  <c r="D42" i="191" s="1"/>
  <c r="G43" i="190"/>
  <c r="F44" i="190"/>
  <c r="D44" i="190" s="1"/>
  <c r="G43" i="197" l="1"/>
  <c r="F44" i="197"/>
  <c r="D44" i="197" s="1"/>
  <c r="F46" i="195"/>
  <c r="D46" i="195" s="1"/>
  <c r="G46" i="195" s="1"/>
  <c r="G41" i="194"/>
  <c r="F42" i="194"/>
  <c r="D42" i="194" s="1"/>
  <c r="G42" i="194" s="1"/>
  <c r="G40" i="193"/>
  <c r="F41" i="193"/>
  <c r="D41" i="193" s="1"/>
  <c r="G44" i="192"/>
  <c r="F45" i="192"/>
  <c r="D45" i="192" s="1"/>
  <c r="G42" i="191"/>
  <c r="F43" i="191"/>
  <c r="D43" i="191" s="1"/>
  <c r="G44" i="190"/>
  <c r="F45" i="190"/>
  <c r="D45" i="190" s="1"/>
  <c r="G44" i="197" l="1"/>
  <c r="F45" i="197"/>
  <c r="D45" i="197" s="1"/>
  <c r="F47" i="195"/>
  <c r="D47" i="195" s="1"/>
  <c r="G47" i="195" s="1"/>
  <c r="F43" i="194"/>
  <c r="D43" i="194" s="1"/>
  <c r="G43" i="194" s="1"/>
  <c r="G41" i="193"/>
  <c r="F42" i="193"/>
  <c r="D42" i="193" s="1"/>
  <c r="G45" i="192"/>
  <c r="F46" i="192"/>
  <c r="D46" i="192" s="1"/>
  <c r="G43" i="191"/>
  <c r="F44" i="191"/>
  <c r="D44" i="191" s="1"/>
  <c r="G45" i="190"/>
  <c r="F46" i="190"/>
  <c r="D46" i="190" s="1"/>
  <c r="G45" i="197" l="1"/>
  <c r="F46" i="197"/>
  <c r="D46" i="197" s="1"/>
  <c r="F48" i="195"/>
  <c r="D48" i="195" s="1"/>
  <c r="G48" i="195" s="1"/>
  <c r="F44" i="194"/>
  <c r="D44" i="194" s="1"/>
  <c r="G44" i="194" s="1"/>
  <c r="G42" i="193"/>
  <c r="F43" i="193"/>
  <c r="D43" i="193" s="1"/>
  <c r="G46" i="192"/>
  <c r="F47" i="192"/>
  <c r="D47" i="192" s="1"/>
  <c r="G44" i="191"/>
  <c r="F45" i="191"/>
  <c r="D45" i="191" s="1"/>
  <c r="G46" i="190"/>
  <c r="F47" i="190"/>
  <c r="D47" i="190" s="1"/>
  <c r="G46" i="197" l="1"/>
  <c r="F47" i="197"/>
  <c r="D47" i="197" s="1"/>
  <c r="F49" i="195"/>
  <c r="D49" i="195" s="1"/>
  <c r="G49" i="195" s="1"/>
  <c r="F45" i="194"/>
  <c r="D45" i="194" s="1"/>
  <c r="G43" i="193"/>
  <c r="F44" i="193"/>
  <c r="D44" i="193" s="1"/>
  <c r="G47" i="192"/>
  <c r="F48" i="192"/>
  <c r="D48" i="192" s="1"/>
  <c r="G45" i="191"/>
  <c r="F46" i="191"/>
  <c r="D46" i="191" s="1"/>
  <c r="G47" i="190"/>
  <c r="F48" i="190"/>
  <c r="D48" i="190" s="1"/>
  <c r="G47" i="197" l="1"/>
  <c r="F48" i="197"/>
  <c r="D48" i="197" s="1"/>
  <c r="F50" i="195"/>
  <c r="D50" i="195" s="1"/>
  <c r="G50" i="195" s="1"/>
  <c r="G45" i="194"/>
  <c r="F46" i="194"/>
  <c r="D46" i="194" s="1"/>
  <c r="G44" i="193"/>
  <c r="F45" i="193"/>
  <c r="D45" i="193" s="1"/>
  <c r="G48" i="192"/>
  <c r="F49" i="192"/>
  <c r="D49" i="192" s="1"/>
  <c r="G46" i="191"/>
  <c r="F47" i="191"/>
  <c r="D47" i="191" s="1"/>
  <c r="G48" i="190"/>
  <c r="F49" i="190"/>
  <c r="D49" i="190" s="1"/>
  <c r="G48" i="197" l="1"/>
  <c r="F49" i="197"/>
  <c r="D49" i="197" s="1"/>
  <c r="F51" i="195"/>
  <c r="D51" i="195" s="1"/>
  <c r="G51" i="195" s="1"/>
  <c r="G46" i="194"/>
  <c r="F47" i="194"/>
  <c r="D47" i="194" s="1"/>
  <c r="G47" i="194" s="1"/>
  <c r="G45" i="193"/>
  <c r="F46" i="193"/>
  <c r="D46" i="193" s="1"/>
  <c r="G49" i="192"/>
  <c r="F50" i="192"/>
  <c r="D50" i="192" s="1"/>
  <c r="G47" i="191"/>
  <c r="F48" i="191"/>
  <c r="D48" i="191" s="1"/>
  <c r="G49" i="190"/>
  <c r="F50" i="190"/>
  <c r="D50" i="190" s="1"/>
  <c r="G49" i="197" l="1"/>
  <c r="F50" i="197"/>
  <c r="D50" i="197" s="1"/>
  <c r="F52" i="195"/>
  <c r="D52" i="195" s="1"/>
  <c r="G52" i="195" s="1"/>
  <c r="F48" i="194"/>
  <c r="D48" i="194" s="1"/>
  <c r="G48" i="194" s="1"/>
  <c r="G46" i="193"/>
  <c r="F47" i="193"/>
  <c r="D47" i="193" s="1"/>
  <c r="G50" i="192"/>
  <c r="F51" i="192"/>
  <c r="D51" i="192" s="1"/>
  <c r="G48" i="191"/>
  <c r="F49" i="191"/>
  <c r="D49" i="191" s="1"/>
  <c r="G50" i="190"/>
  <c r="F51" i="190"/>
  <c r="D51" i="190" s="1"/>
  <c r="G50" i="197" l="1"/>
  <c r="F51" i="197"/>
  <c r="D51" i="197" s="1"/>
  <c r="F53" i="195"/>
  <c r="D53" i="195" s="1"/>
  <c r="G53" i="195" s="1"/>
  <c r="F49" i="194"/>
  <c r="D49" i="194" s="1"/>
  <c r="G49" i="194" s="1"/>
  <c r="G47" i="193"/>
  <c r="F48" i="193"/>
  <c r="D48" i="193" s="1"/>
  <c r="G51" i="192"/>
  <c r="F52" i="192"/>
  <c r="D52" i="192" s="1"/>
  <c r="G49" i="191"/>
  <c r="F50" i="191"/>
  <c r="D50" i="191" s="1"/>
  <c r="G51" i="190"/>
  <c r="F52" i="190"/>
  <c r="D52" i="190" s="1"/>
  <c r="G51" i="197" l="1"/>
  <c r="F52" i="197"/>
  <c r="D52" i="197" s="1"/>
  <c r="F54" i="195"/>
  <c r="D54" i="195" s="1"/>
  <c r="G54" i="195" s="1"/>
  <c r="F50" i="194"/>
  <c r="D50" i="194" s="1"/>
  <c r="G48" i="193"/>
  <c r="F49" i="193"/>
  <c r="D49" i="193" s="1"/>
  <c r="G52" i="192"/>
  <c r="F53" i="192"/>
  <c r="D53" i="192" s="1"/>
  <c r="G50" i="191"/>
  <c r="F51" i="191"/>
  <c r="D51" i="191" s="1"/>
  <c r="G52" i="190"/>
  <c r="F53" i="190"/>
  <c r="D53" i="190" s="1"/>
  <c r="G52" i="197" l="1"/>
  <c r="F53" i="197"/>
  <c r="D53" i="197" s="1"/>
  <c r="F55" i="195"/>
  <c r="D55" i="195" s="1"/>
  <c r="G55" i="195" s="1"/>
  <c r="F51" i="194"/>
  <c r="D51" i="194" s="1"/>
  <c r="G50" i="194"/>
  <c r="G49" i="193"/>
  <c r="F50" i="193"/>
  <c r="D50" i="193" s="1"/>
  <c r="G53" i="192"/>
  <c r="F54" i="192"/>
  <c r="D54" i="192" s="1"/>
  <c r="G51" i="191"/>
  <c r="F52" i="191"/>
  <c r="D52" i="191" s="1"/>
  <c r="G53" i="190"/>
  <c r="F54" i="190"/>
  <c r="D54" i="190" s="1"/>
  <c r="G53" i="197" l="1"/>
  <c r="F54" i="197"/>
  <c r="D54" i="197" s="1"/>
  <c r="F56" i="195"/>
  <c r="D56" i="195" s="1"/>
  <c r="G56" i="195" s="1"/>
  <c r="G51" i="194"/>
  <c r="F52" i="194"/>
  <c r="D52" i="194" s="1"/>
  <c r="G52" i="194" s="1"/>
  <c r="G50" i="193"/>
  <c r="F51" i="193"/>
  <c r="D51" i="193" s="1"/>
  <c r="G54" i="192"/>
  <c r="F55" i="192"/>
  <c r="D55" i="192" s="1"/>
  <c r="G52" i="191"/>
  <c r="F53" i="191"/>
  <c r="D53" i="191" s="1"/>
  <c r="G54" i="190"/>
  <c r="F55" i="190"/>
  <c r="D55" i="190" s="1"/>
  <c r="G54" i="197" l="1"/>
  <c r="F55" i="197"/>
  <c r="D55" i="197" s="1"/>
  <c r="F57" i="195"/>
  <c r="D57" i="195" s="1"/>
  <c r="F53" i="194"/>
  <c r="D53" i="194" s="1"/>
  <c r="G53" i="194" s="1"/>
  <c r="G51" i="193"/>
  <c r="F52" i="193"/>
  <c r="D52" i="193" s="1"/>
  <c r="G55" i="192"/>
  <c r="F56" i="192"/>
  <c r="D56" i="192" s="1"/>
  <c r="G53" i="191"/>
  <c r="F54" i="191"/>
  <c r="D54" i="191" s="1"/>
  <c r="G55" i="190"/>
  <c r="F56" i="190"/>
  <c r="D56" i="190" s="1"/>
  <c r="G55" i="197" l="1"/>
  <c r="F56" i="197"/>
  <c r="D56" i="197" s="1"/>
  <c r="F58" i="195"/>
  <c r="D58" i="195" s="1"/>
  <c r="G57" i="195"/>
  <c r="F54" i="194"/>
  <c r="D54" i="194" s="1"/>
  <c r="G54" i="194" s="1"/>
  <c r="G52" i="193"/>
  <c r="F53" i="193"/>
  <c r="D53" i="193" s="1"/>
  <c r="G56" i="192"/>
  <c r="F57" i="192"/>
  <c r="D57" i="192" s="1"/>
  <c r="G54" i="191"/>
  <c r="F55" i="191"/>
  <c r="D55" i="191" s="1"/>
  <c r="G56" i="190"/>
  <c r="F57" i="190"/>
  <c r="D57" i="190" s="1"/>
  <c r="G56" i="197" l="1"/>
  <c r="F57" i="197"/>
  <c r="D57" i="197" s="1"/>
  <c r="G58" i="195"/>
  <c r="F59" i="195"/>
  <c r="D59" i="195" s="1"/>
  <c r="F55" i="194"/>
  <c r="D55" i="194" s="1"/>
  <c r="G55" i="194" s="1"/>
  <c r="G53" i="193"/>
  <c r="F54" i="193"/>
  <c r="D54" i="193" s="1"/>
  <c r="G57" i="192"/>
  <c r="F58" i="192"/>
  <c r="D58" i="192" s="1"/>
  <c r="G55" i="191"/>
  <c r="F56" i="191"/>
  <c r="D56" i="191" s="1"/>
  <c r="G57" i="190"/>
  <c r="F58" i="190"/>
  <c r="D58" i="190" s="1"/>
  <c r="G57" i="197" l="1"/>
  <c r="F58" i="197"/>
  <c r="D58" i="197" s="1"/>
  <c r="G59" i="195"/>
  <c r="F60" i="195"/>
  <c r="D60" i="195" s="1"/>
  <c r="F56" i="194"/>
  <c r="D56" i="194" s="1"/>
  <c r="G56" i="194" s="1"/>
  <c r="G54" i="193"/>
  <c r="F55" i="193"/>
  <c r="D55" i="193" s="1"/>
  <c r="G58" i="192"/>
  <c r="F59" i="192"/>
  <c r="D59" i="192" s="1"/>
  <c r="G56" i="191"/>
  <c r="F57" i="191"/>
  <c r="D57" i="191" s="1"/>
  <c r="G58" i="190"/>
  <c r="F59" i="190"/>
  <c r="D59" i="190" s="1"/>
  <c r="G58" i="197" l="1"/>
  <c r="F59" i="197"/>
  <c r="D59" i="197" s="1"/>
  <c r="G60" i="195"/>
  <c r="F61" i="195"/>
  <c r="D61" i="195" s="1"/>
  <c r="F57" i="194"/>
  <c r="D57" i="194" s="1"/>
  <c r="G57" i="194" s="1"/>
  <c r="G55" i="193"/>
  <c r="F56" i="193"/>
  <c r="D56" i="193" s="1"/>
  <c r="G59" i="192"/>
  <c r="F60" i="192"/>
  <c r="D60" i="192" s="1"/>
  <c r="G57" i="191"/>
  <c r="F58" i="191"/>
  <c r="D58" i="191" s="1"/>
  <c r="G59" i="190"/>
  <c r="F60" i="190"/>
  <c r="D60" i="190" s="1"/>
  <c r="G59" i="197" l="1"/>
  <c r="F60" i="197"/>
  <c r="D60" i="197" s="1"/>
  <c r="G61" i="195"/>
  <c r="F62" i="195"/>
  <c r="D62" i="195" s="1"/>
  <c r="F58" i="194"/>
  <c r="D58" i="194" s="1"/>
  <c r="G58" i="194" s="1"/>
  <c r="G56" i="193"/>
  <c r="F57" i="193"/>
  <c r="D57" i="193" s="1"/>
  <c r="G60" i="192"/>
  <c r="F61" i="192"/>
  <c r="D61" i="192" s="1"/>
  <c r="G58" i="191"/>
  <c r="F59" i="191"/>
  <c r="D59" i="191" s="1"/>
  <c r="G60" i="190"/>
  <c r="F61" i="190"/>
  <c r="D61" i="190" s="1"/>
  <c r="G60" i="197" l="1"/>
  <c r="F61" i="197"/>
  <c r="D61" i="197" s="1"/>
  <c r="G62" i="195"/>
  <c r="F63" i="195"/>
  <c r="D63" i="195" s="1"/>
  <c r="D64" i="195" s="1"/>
  <c r="F59" i="194"/>
  <c r="D59" i="194" s="1"/>
  <c r="G59" i="194" s="1"/>
  <c r="G57" i="193"/>
  <c r="F58" i="193"/>
  <c r="D58" i="193" s="1"/>
  <c r="G61" i="192"/>
  <c r="F62" i="192"/>
  <c r="D62" i="192" s="1"/>
  <c r="G59" i="191"/>
  <c r="F60" i="191"/>
  <c r="D60" i="191" s="1"/>
  <c r="G61" i="190"/>
  <c r="F62" i="190"/>
  <c r="D62" i="190" s="1"/>
  <c r="G61" i="197" l="1"/>
  <c r="F62" i="197"/>
  <c r="D62" i="197" s="1"/>
  <c r="F78" i="195"/>
  <c r="G78" i="195" s="1"/>
  <c r="F73" i="195"/>
  <c r="G73" i="195" s="1"/>
  <c r="F85" i="195"/>
  <c r="G85" i="195" s="1"/>
  <c r="F71" i="195"/>
  <c r="G71" i="195" s="1"/>
  <c r="F74" i="195"/>
  <c r="G74" i="195" s="1"/>
  <c r="F84" i="195"/>
  <c r="G84" i="195" s="1"/>
  <c r="F75" i="195"/>
  <c r="G75" i="195" s="1"/>
  <c r="F80" i="195"/>
  <c r="G80" i="195" s="1"/>
  <c r="F79" i="195"/>
  <c r="G79" i="195" s="1"/>
  <c r="F76" i="195"/>
  <c r="G76" i="195" s="1"/>
  <c r="F70" i="195"/>
  <c r="G70" i="195" s="1"/>
  <c r="F83" i="195"/>
  <c r="G83" i="195" s="1"/>
  <c r="F82" i="195"/>
  <c r="G82" i="195" s="1"/>
  <c r="F72" i="195"/>
  <c r="G72" i="195" s="1"/>
  <c r="F68" i="195"/>
  <c r="G68" i="195" s="1"/>
  <c r="D89" i="195"/>
  <c r="F7" i="195" s="1"/>
  <c r="F88" i="195"/>
  <c r="G88" i="195" s="1"/>
  <c r="F87" i="195"/>
  <c r="G87" i="195" s="1"/>
  <c r="F77" i="195"/>
  <c r="G77" i="195" s="1"/>
  <c r="F67" i="195"/>
  <c r="G67" i="195" s="1"/>
  <c r="G63" i="195"/>
  <c r="F64" i="195"/>
  <c r="G64" i="195" s="1"/>
  <c r="F86" i="195"/>
  <c r="G86" i="195" s="1"/>
  <c r="F65" i="195"/>
  <c r="G65" i="195" s="1"/>
  <c r="F69" i="195"/>
  <c r="G69" i="195" s="1"/>
  <c r="F81" i="195"/>
  <c r="G81" i="195" s="1"/>
  <c r="F66" i="195"/>
  <c r="G66" i="195" s="1"/>
  <c r="F60" i="194"/>
  <c r="D60" i="194" s="1"/>
  <c r="G60" i="194" s="1"/>
  <c r="G58" i="193"/>
  <c r="F59" i="193"/>
  <c r="D59" i="193" s="1"/>
  <c r="G62" i="192"/>
  <c r="F63" i="192"/>
  <c r="D63" i="192" s="1"/>
  <c r="G60" i="191"/>
  <c r="F61" i="191"/>
  <c r="D61" i="191" s="1"/>
  <c r="G62" i="190"/>
  <c r="F63" i="190"/>
  <c r="D63" i="190" s="1"/>
  <c r="G62" i="197" l="1"/>
  <c r="F63" i="197"/>
  <c r="D63" i="197" s="1"/>
  <c r="F89" i="195"/>
  <c r="F24" i="195"/>
  <c r="G89" i="195"/>
  <c r="F20" i="195" s="1"/>
  <c r="F22" i="195" s="1"/>
  <c r="F61" i="194"/>
  <c r="D61" i="194" s="1"/>
  <c r="G61" i="194" s="1"/>
  <c r="G59" i="193"/>
  <c r="F60" i="193"/>
  <c r="D60" i="193" s="1"/>
  <c r="G63" i="192"/>
  <c r="F64" i="192"/>
  <c r="D64" i="192" s="1"/>
  <c r="G61" i="191"/>
  <c r="F62" i="191"/>
  <c r="D62" i="191" s="1"/>
  <c r="G63" i="190"/>
  <c r="F64" i="190"/>
  <c r="D64" i="190" s="1"/>
  <c r="G63" i="197" l="1"/>
  <c r="F64" i="197"/>
  <c r="D64" i="197" s="1"/>
  <c r="F62" i="194"/>
  <c r="D62" i="194" s="1"/>
  <c r="G62" i="194" s="1"/>
  <c r="G60" i="193"/>
  <c r="F61" i="193"/>
  <c r="D61" i="193" s="1"/>
  <c r="G64" i="192"/>
  <c r="F65" i="192"/>
  <c r="D65" i="192" s="1"/>
  <c r="G62" i="191"/>
  <c r="F63" i="191"/>
  <c r="D63" i="191" s="1"/>
  <c r="G64" i="190"/>
  <c r="F65" i="190"/>
  <c r="G64" i="197" l="1"/>
  <c r="F65" i="197"/>
  <c r="D65" i="197" s="1"/>
  <c r="F63" i="194"/>
  <c r="D63" i="194" s="1"/>
  <c r="G63" i="194" s="1"/>
  <c r="G61" i="193"/>
  <c r="F62" i="193"/>
  <c r="D62" i="193" s="1"/>
  <c r="G65" i="192"/>
  <c r="F66" i="192"/>
  <c r="D66" i="192" s="1"/>
  <c r="G63" i="191"/>
  <c r="F64" i="191"/>
  <c r="D64" i="191" s="1"/>
  <c r="D65" i="190"/>
  <c r="G65" i="197" l="1"/>
  <c r="F66" i="197"/>
  <c r="D66" i="197" s="1"/>
  <c r="F64" i="194"/>
  <c r="D64" i="194" s="1"/>
  <c r="G64" i="194" s="1"/>
  <c r="G62" i="193"/>
  <c r="F63" i="193"/>
  <c r="D63" i="193" s="1"/>
  <c r="G66" i="192"/>
  <c r="F67" i="192"/>
  <c r="D67" i="192" s="1"/>
  <c r="G64" i="191"/>
  <c r="F65" i="191"/>
  <c r="D65" i="191" s="1"/>
  <c r="F66" i="190"/>
  <c r="G65" i="190"/>
  <c r="G66" i="197" l="1"/>
  <c r="F67" i="197"/>
  <c r="D67" i="197" s="1"/>
  <c r="F65" i="194"/>
  <c r="D65" i="194" s="1"/>
  <c r="G65" i="194" s="1"/>
  <c r="G63" i="193"/>
  <c r="F64" i="193"/>
  <c r="D64" i="193" s="1"/>
  <c r="G67" i="192"/>
  <c r="F68" i="192"/>
  <c r="D68" i="192" s="1"/>
  <c r="G65" i="191"/>
  <c r="F66" i="191"/>
  <c r="D66" i="191" s="1"/>
  <c r="D66" i="190"/>
  <c r="G67" i="197" l="1"/>
  <c r="F68" i="197"/>
  <c r="D68" i="197" s="1"/>
  <c r="F66" i="194"/>
  <c r="D66" i="194" s="1"/>
  <c r="G66" i="194" s="1"/>
  <c r="G64" i="193"/>
  <c r="F65" i="193"/>
  <c r="D65" i="193" s="1"/>
  <c r="G68" i="192"/>
  <c r="F69" i="192"/>
  <c r="D69" i="192" s="1"/>
  <c r="G66" i="191"/>
  <c r="F67" i="191"/>
  <c r="D67" i="191" s="1"/>
  <c r="F67" i="190"/>
  <c r="G66" i="190"/>
  <c r="G68" i="197" l="1"/>
  <c r="F69" i="197"/>
  <c r="D69" i="197" s="1"/>
  <c r="F67" i="194"/>
  <c r="D67" i="194" s="1"/>
  <c r="G67" i="194" s="1"/>
  <c r="G65" i="193"/>
  <c r="F66" i="193"/>
  <c r="D66" i="193" s="1"/>
  <c r="G69" i="192"/>
  <c r="F70" i="192"/>
  <c r="D70" i="192" s="1"/>
  <c r="G67" i="191"/>
  <c r="F68" i="191"/>
  <c r="D68" i="191" s="1"/>
  <c r="D67" i="190"/>
  <c r="G69" i="197" l="1"/>
  <c r="F70" i="197"/>
  <c r="D70" i="197" s="1"/>
  <c r="F68" i="194"/>
  <c r="D68" i="194" s="1"/>
  <c r="G68" i="194" s="1"/>
  <c r="G66" i="193"/>
  <c r="F67" i="193"/>
  <c r="D67" i="193" s="1"/>
  <c r="G70" i="192"/>
  <c r="F71" i="192"/>
  <c r="D71" i="192" s="1"/>
  <c r="G68" i="191"/>
  <c r="F69" i="191"/>
  <c r="D69" i="191" s="1"/>
  <c r="F68" i="190"/>
  <c r="G67" i="190"/>
  <c r="G70" i="197" l="1"/>
  <c r="F71" i="197"/>
  <c r="D71" i="197" s="1"/>
  <c r="F69" i="194"/>
  <c r="D69" i="194" s="1"/>
  <c r="G69" i="194" s="1"/>
  <c r="G67" i="193"/>
  <c r="F68" i="193"/>
  <c r="D68" i="193" s="1"/>
  <c r="G71" i="192"/>
  <c r="F72" i="192"/>
  <c r="D72" i="192" s="1"/>
  <c r="G69" i="191"/>
  <c r="F70" i="191"/>
  <c r="D70" i="191" s="1"/>
  <c r="D68" i="190"/>
  <c r="G71" i="197" l="1"/>
  <c r="F72" i="197"/>
  <c r="D72" i="197" s="1"/>
  <c r="F70" i="194"/>
  <c r="D70" i="194" s="1"/>
  <c r="G70" i="194" s="1"/>
  <c r="G68" i="193"/>
  <c r="F69" i="193"/>
  <c r="D69" i="193" s="1"/>
  <c r="G72" i="192"/>
  <c r="F73" i="192"/>
  <c r="D73" i="192" s="1"/>
  <c r="G70" i="191"/>
  <c r="F71" i="191"/>
  <c r="D71" i="191" s="1"/>
  <c r="F69" i="190"/>
  <c r="G68" i="190"/>
  <c r="G72" i="197" l="1"/>
  <c r="F73" i="197"/>
  <c r="D73" i="197" s="1"/>
  <c r="F71" i="194"/>
  <c r="D71" i="194" s="1"/>
  <c r="G71" i="194" s="1"/>
  <c r="G69" i="193"/>
  <c r="F70" i="193"/>
  <c r="D70" i="193" s="1"/>
  <c r="G73" i="192"/>
  <c r="F74" i="192"/>
  <c r="D74" i="192" s="1"/>
  <c r="G71" i="191"/>
  <c r="F72" i="191"/>
  <c r="D72" i="191" s="1"/>
  <c r="D69" i="190"/>
  <c r="G73" i="197" l="1"/>
  <c r="F74" i="197"/>
  <c r="D74" i="197" s="1"/>
  <c r="F72" i="194"/>
  <c r="D72" i="194" s="1"/>
  <c r="G72" i="194" s="1"/>
  <c r="G70" i="193"/>
  <c r="F71" i="193"/>
  <c r="D71" i="193" s="1"/>
  <c r="G74" i="192"/>
  <c r="F75" i="192"/>
  <c r="D75" i="192" s="1"/>
  <c r="G72" i="191"/>
  <c r="F73" i="191"/>
  <c r="D73" i="191" s="1"/>
  <c r="F70" i="190"/>
  <c r="G69" i="190"/>
  <c r="G74" i="197" l="1"/>
  <c r="F75" i="197"/>
  <c r="D75" i="197" s="1"/>
  <c r="F73" i="194"/>
  <c r="D73" i="194" s="1"/>
  <c r="G73" i="194" s="1"/>
  <c r="G71" i="193"/>
  <c r="F72" i="193"/>
  <c r="D72" i="193" s="1"/>
  <c r="G75" i="192"/>
  <c r="F76" i="192"/>
  <c r="D76" i="192"/>
  <c r="G73" i="191"/>
  <c r="F74" i="191"/>
  <c r="D74" i="191" s="1"/>
  <c r="D70" i="190"/>
  <c r="F71" i="190" s="1"/>
  <c r="G75" i="197" l="1"/>
  <c r="D76" i="197"/>
  <c r="F76" i="197"/>
  <c r="F74" i="194"/>
  <c r="D74" i="194" s="1"/>
  <c r="G74" i="194" s="1"/>
  <c r="G72" i="193"/>
  <c r="F73" i="193"/>
  <c r="D73" i="193" s="1"/>
  <c r="G76" i="192"/>
  <c r="F81" i="192"/>
  <c r="G81" i="192" s="1"/>
  <c r="F78" i="192"/>
  <c r="G78" i="192" s="1"/>
  <c r="F84" i="192"/>
  <c r="G84" i="192" s="1"/>
  <c r="F79" i="192"/>
  <c r="G79" i="192" s="1"/>
  <c r="F82" i="192"/>
  <c r="G82" i="192" s="1"/>
  <c r="F86" i="192"/>
  <c r="G86" i="192" s="1"/>
  <c r="F88" i="192"/>
  <c r="F77" i="192"/>
  <c r="G77" i="192" s="1"/>
  <c r="F85" i="192"/>
  <c r="G85" i="192" s="1"/>
  <c r="F87" i="192"/>
  <c r="G87" i="192" s="1"/>
  <c r="F83" i="192"/>
  <c r="G83" i="192" s="1"/>
  <c r="D89" i="192"/>
  <c r="F7" i="192" s="1"/>
  <c r="F80" i="192"/>
  <c r="G80" i="192" s="1"/>
  <c r="G74" i="191"/>
  <c r="F75" i="191"/>
  <c r="D75" i="191" s="1"/>
  <c r="D71" i="190"/>
  <c r="F72" i="190" s="1"/>
  <c r="G70" i="190"/>
  <c r="G76" i="197" l="1"/>
  <c r="F78" i="197"/>
  <c r="G78" i="197" s="1"/>
  <c r="F88" i="197"/>
  <c r="F79" i="197"/>
  <c r="G79" i="197" s="1"/>
  <c r="F80" i="197"/>
  <c r="G80" i="197" s="1"/>
  <c r="F77" i="197"/>
  <c r="G77" i="197" s="1"/>
  <c r="F84" i="197"/>
  <c r="G84" i="197" s="1"/>
  <c r="F82" i="197"/>
  <c r="G82" i="197" s="1"/>
  <c r="F85" i="197"/>
  <c r="G85" i="197" s="1"/>
  <c r="F83" i="197"/>
  <c r="G83" i="197" s="1"/>
  <c r="F86" i="197"/>
  <c r="G86" i="197" s="1"/>
  <c r="F87" i="197"/>
  <c r="G87" i="197" s="1"/>
  <c r="F81" i="197"/>
  <c r="G81" i="197" s="1"/>
  <c r="D89" i="197"/>
  <c r="F7" i="197" s="1"/>
  <c r="F75" i="194"/>
  <c r="D75" i="194" s="1"/>
  <c r="G73" i="193"/>
  <c r="F74" i="193"/>
  <c r="D74" i="193" s="1"/>
  <c r="G88" i="192"/>
  <c r="F89" i="192"/>
  <c r="G75" i="191"/>
  <c r="F76" i="191"/>
  <c r="D76" i="191" s="1"/>
  <c r="D72" i="190"/>
  <c r="F73" i="190" s="1"/>
  <c r="G71" i="190"/>
  <c r="G88" i="197" l="1"/>
  <c r="F89" i="197"/>
  <c r="G75" i="194"/>
  <c r="F76" i="194"/>
  <c r="D76" i="194"/>
  <c r="F82" i="194" s="1"/>
  <c r="G82" i="194" s="1"/>
  <c r="G74" i="193"/>
  <c r="F75" i="193"/>
  <c r="D75" i="193" s="1"/>
  <c r="F24" i="192"/>
  <c r="G89" i="192"/>
  <c r="F20" i="192" s="1"/>
  <c r="F22" i="192" s="1"/>
  <c r="G76" i="191"/>
  <c r="F77" i="191"/>
  <c r="D77" i="191" s="1"/>
  <c r="D73" i="190"/>
  <c r="F74" i="190" s="1"/>
  <c r="G72" i="190"/>
  <c r="F24" i="197" l="1"/>
  <c r="G89" i="197"/>
  <c r="F20" i="197" s="1"/>
  <c r="F22" i="197" s="1"/>
  <c r="F81" i="194"/>
  <c r="G81" i="194" s="1"/>
  <c r="F85" i="194"/>
  <c r="G85" i="194" s="1"/>
  <c r="F79" i="194"/>
  <c r="G79" i="194" s="1"/>
  <c r="F80" i="194"/>
  <c r="G80" i="194" s="1"/>
  <c r="F88" i="194"/>
  <c r="G88" i="194" s="1"/>
  <c r="F83" i="194"/>
  <c r="G83" i="194" s="1"/>
  <c r="D89" i="194"/>
  <c r="F7" i="194" s="1"/>
  <c r="G76" i="194"/>
  <c r="F78" i="194"/>
  <c r="G78" i="194" s="1"/>
  <c r="F86" i="194"/>
  <c r="G86" i="194" s="1"/>
  <c r="F84" i="194"/>
  <c r="G84" i="194" s="1"/>
  <c r="F77" i="194"/>
  <c r="F87" i="194"/>
  <c r="G87" i="194" s="1"/>
  <c r="G75" i="193"/>
  <c r="F76" i="193"/>
  <c r="D76" i="193"/>
  <c r="G77" i="191"/>
  <c r="F78" i="191"/>
  <c r="D78" i="191" s="1"/>
  <c r="D74" i="190"/>
  <c r="F75" i="190" s="1"/>
  <c r="G73" i="190"/>
  <c r="G77" i="194" l="1"/>
  <c r="F24" i="194" s="1"/>
  <c r="F89" i="194"/>
  <c r="G76" i="193"/>
  <c r="F81" i="193"/>
  <c r="G81" i="193" s="1"/>
  <c r="F86" i="193"/>
  <c r="G86" i="193" s="1"/>
  <c r="F79" i="193"/>
  <c r="G79" i="193" s="1"/>
  <c r="F83" i="193"/>
  <c r="G83" i="193" s="1"/>
  <c r="F88" i="193"/>
  <c r="F78" i="193"/>
  <c r="G78" i="193" s="1"/>
  <c r="F85" i="193"/>
  <c r="G85" i="193" s="1"/>
  <c r="F80" i="193"/>
  <c r="G80" i="193" s="1"/>
  <c r="F77" i="193"/>
  <c r="G77" i="193" s="1"/>
  <c r="F87" i="193"/>
  <c r="G87" i="193" s="1"/>
  <c r="F82" i="193"/>
  <c r="G82" i="193" s="1"/>
  <c r="F84" i="193"/>
  <c r="G84" i="193" s="1"/>
  <c r="D89" i="193"/>
  <c r="F7" i="193" s="1"/>
  <c r="G78" i="191"/>
  <c r="F79" i="191"/>
  <c r="D79" i="191" s="1"/>
  <c r="D75" i="190"/>
  <c r="F76" i="190" s="1"/>
  <c r="G74" i="190"/>
  <c r="G89" i="194" l="1"/>
  <c r="F20" i="194" s="1"/>
  <c r="F22" i="194" s="1"/>
  <c r="G88" i="193"/>
  <c r="F89" i="193"/>
  <c r="G79" i="191"/>
  <c r="F80" i="191"/>
  <c r="D80" i="191" s="1"/>
  <c r="D76" i="190"/>
  <c r="F77" i="190" s="1"/>
  <c r="G75" i="190"/>
  <c r="F24" i="193" l="1"/>
  <c r="G89" i="193"/>
  <c r="F20" i="193" s="1"/>
  <c r="F22" i="193" s="1"/>
  <c r="G80" i="191"/>
  <c r="F81" i="191"/>
  <c r="D81" i="191" s="1"/>
  <c r="D77" i="190"/>
  <c r="F78" i="190" s="1"/>
  <c r="G76" i="190"/>
  <c r="G81" i="191" l="1"/>
  <c r="F82" i="191"/>
  <c r="D82" i="191" s="1"/>
  <c r="D78" i="190"/>
  <c r="F79" i="190" s="1"/>
  <c r="G77" i="190"/>
  <c r="G82" i="191" l="1"/>
  <c r="F83" i="191"/>
  <c r="D83" i="191" s="1"/>
  <c r="D79" i="190"/>
  <c r="F80" i="190" s="1"/>
  <c r="G78" i="190"/>
  <c r="G83" i="191" l="1"/>
  <c r="F84" i="191"/>
  <c r="D84" i="191" s="1"/>
  <c r="D80" i="190"/>
  <c r="F81" i="190" s="1"/>
  <c r="G79" i="190"/>
  <c r="G84" i="191" l="1"/>
  <c r="F85" i="191"/>
  <c r="D85" i="191" s="1"/>
  <c r="D81" i="190"/>
  <c r="F82" i="190" s="1"/>
  <c r="G80" i="190"/>
  <c r="G85" i="191" l="1"/>
  <c r="F86" i="191"/>
  <c r="D86" i="191" s="1"/>
  <c r="D82" i="190"/>
  <c r="F83" i="190" s="1"/>
  <c r="G81" i="190"/>
  <c r="G86" i="191" l="1"/>
  <c r="F87" i="191"/>
  <c r="D87" i="191" s="1"/>
  <c r="D83" i="190"/>
  <c r="F84" i="190" s="1"/>
  <c r="G82" i="190"/>
  <c r="G87" i="191" l="1"/>
  <c r="D88" i="191"/>
  <c r="F88" i="191"/>
  <c r="F89" i="191" s="1"/>
  <c r="D84" i="190"/>
  <c r="F85" i="190" s="1"/>
  <c r="G83" i="190"/>
  <c r="G88" i="191" l="1"/>
  <c r="D89" i="191"/>
  <c r="F7" i="191" s="1"/>
  <c r="D85" i="190"/>
  <c r="F86" i="190" s="1"/>
  <c r="G84" i="190"/>
  <c r="F24" i="191" l="1"/>
  <c r="G89" i="191"/>
  <c r="F20" i="191" s="1"/>
  <c r="F22" i="191" s="1"/>
  <c r="D86" i="190"/>
  <c r="F87" i="190" s="1"/>
  <c r="G85" i="190"/>
  <c r="D87" i="190" l="1"/>
  <c r="G86" i="190"/>
  <c r="D88" i="190" l="1"/>
  <c r="F88" i="190"/>
  <c r="F89" i="190" s="1"/>
  <c r="G87" i="190"/>
  <c r="G88" i="190" l="1"/>
  <c r="D89" i="190"/>
  <c r="F7" i="190" s="1"/>
  <c r="F24" i="190" l="1"/>
  <c r="G89" i="190"/>
  <c r="F20" i="190" s="1"/>
  <c r="F22" i="190" s="1"/>
  <c r="K43" i="189" l="1"/>
  <c r="K42" i="189"/>
  <c r="K41" i="189"/>
  <c r="K40" i="189"/>
  <c r="K39" i="189"/>
  <c r="K38" i="189"/>
  <c r="K37" i="189"/>
  <c r="K36" i="189"/>
  <c r="K35" i="189"/>
  <c r="K34" i="189"/>
  <c r="K33" i="189"/>
  <c r="K32" i="189"/>
  <c r="K31" i="189"/>
  <c r="K30" i="189"/>
  <c r="K29" i="189"/>
  <c r="K28" i="189"/>
  <c r="C28" i="189"/>
  <c r="C29" i="189" s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K27" i="189"/>
  <c r="G27" i="189"/>
  <c r="F27" i="189"/>
  <c r="E27" i="189"/>
  <c r="D27" i="189"/>
  <c r="C27" i="189"/>
  <c r="K26" i="189"/>
  <c r="B26" i="189"/>
  <c r="K24" i="189"/>
  <c r="B24" i="189"/>
  <c r="K23" i="189"/>
  <c r="K22" i="189"/>
  <c r="E22" i="189"/>
  <c r="D22" i="189"/>
  <c r="C22" i="189"/>
  <c r="B22" i="189"/>
  <c r="K21" i="189"/>
  <c r="K20" i="189"/>
  <c r="E20" i="189"/>
  <c r="D20" i="189"/>
  <c r="C20" i="189"/>
  <c r="B20" i="189"/>
  <c r="K19" i="189"/>
  <c r="K18" i="189"/>
  <c r="E18" i="189"/>
  <c r="D18" i="189"/>
  <c r="C18" i="189"/>
  <c r="B18" i="189"/>
  <c r="K17" i="189"/>
  <c r="K16" i="189"/>
  <c r="K15" i="189"/>
  <c r="F15" i="189"/>
  <c r="E15" i="189"/>
  <c r="D15" i="189"/>
  <c r="C15" i="189"/>
  <c r="B15" i="189"/>
  <c r="K14" i="189"/>
  <c r="K13" i="189"/>
  <c r="F13" i="189"/>
  <c r="E13" i="189"/>
  <c r="D13" i="189"/>
  <c r="C13" i="189"/>
  <c r="B13" i="189"/>
  <c r="K12" i="189"/>
  <c r="K11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K44" i="188"/>
  <c r="K43" i="188"/>
  <c r="K42" i="188"/>
  <c r="K41" i="188"/>
  <c r="K40" i="188"/>
  <c r="K39" i="188"/>
  <c r="K38" i="188"/>
  <c r="K37" i="188"/>
  <c r="K36" i="188"/>
  <c r="K35" i="188"/>
  <c r="K34" i="188"/>
  <c r="K33" i="188"/>
  <c r="K32" i="188"/>
  <c r="K31" i="188"/>
  <c r="K30" i="188"/>
  <c r="K29" i="188"/>
  <c r="K28" i="188"/>
  <c r="C28" i="188"/>
  <c r="C29" i="188" s="1"/>
  <c r="C30" i="188" s="1"/>
  <c r="C31" i="188" s="1"/>
  <c r="C32" i="188" s="1"/>
  <c r="C33" i="188" s="1"/>
  <c r="C34" i="188" s="1"/>
  <c r="C35" i="188" s="1"/>
  <c r="C36" i="188" s="1"/>
  <c r="C37" i="188" s="1"/>
  <c r="C38" i="188" s="1"/>
  <c r="C39" i="188" s="1"/>
  <c r="C40" i="188" s="1"/>
  <c r="C41" i="188" s="1"/>
  <c r="C42" i="188" s="1"/>
  <c r="C43" i="188" s="1"/>
  <c r="C44" i="188" s="1"/>
  <c r="C45" i="188" s="1"/>
  <c r="C46" i="188" s="1"/>
  <c r="C47" i="188" s="1"/>
  <c r="C48" i="188" s="1"/>
  <c r="C49" i="188" s="1"/>
  <c r="C50" i="188" s="1"/>
  <c r="C51" i="188" s="1"/>
  <c r="C52" i="188" s="1"/>
  <c r="C53" i="188" s="1"/>
  <c r="C54" i="188" s="1"/>
  <c r="C55" i="188" s="1"/>
  <c r="C56" i="188" s="1"/>
  <c r="C57" i="188" s="1"/>
  <c r="C58" i="188" s="1"/>
  <c r="C59" i="188" s="1"/>
  <c r="C60" i="188" s="1"/>
  <c r="C61" i="188" s="1"/>
  <c r="C62" i="188" s="1"/>
  <c r="C63" i="188" s="1"/>
  <c r="C64" i="188" s="1"/>
  <c r="C65" i="188" s="1"/>
  <c r="C66" i="188" s="1"/>
  <c r="C67" i="188" s="1"/>
  <c r="C68" i="188" s="1"/>
  <c r="C69" i="188" s="1"/>
  <c r="C70" i="188" s="1"/>
  <c r="C71" i="188" s="1"/>
  <c r="C72" i="188" s="1"/>
  <c r="C73" i="188" s="1"/>
  <c r="C74" i="188" s="1"/>
  <c r="C75" i="188" s="1"/>
  <c r="C76" i="188" s="1"/>
  <c r="C77" i="188" s="1"/>
  <c r="C78" i="188" s="1"/>
  <c r="C79" i="188" s="1"/>
  <c r="C80" i="188" s="1"/>
  <c r="C81" i="188" s="1"/>
  <c r="C82" i="188" s="1"/>
  <c r="C83" i="188" s="1"/>
  <c r="C84" i="188" s="1"/>
  <c r="C85" i="188" s="1"/>
  <c r="C86" i="188" s="1"/>
  <c r="C87" i="188" s="1"/>
  <c r="C88" i="188" s="1"/>
  <c r="G27" i="188"/>
  <c r="F27" i="188"/>
  <c r="E27" i="188"/>
  <c r="D27" i="188"/>
  <c r="C27" i="188"/>
  <c r="B26" i="188"/>
  <c r="K24" i="188"/>
  <c r="B24" i="188"/>
  <c r="K23" i="188"/>
  <c r="K22" i="188"/>
  <c r="E22" i="188"/>
  <c r="D22" i="188"/>
  <c r="C22" i="188"/>
  <c r="B22" i="188"/>
  <c r="K21" i="188"/>
  <c r="K20" i="188"/>
  <c r="E20" i="188"/>
  <c r="D20" i="188"/>
  <c r="C20" i="188"/>
  <c r="B20" i="188"/>
  <c r="K19" i="188"/>
  <c r="K18" i="188"/>
  <c r="E18" i="188"/>
  <c r="D18" i="188"/>
  <c r="C18" i="188"/>
  <c r="B18" i="188"/>
  <c r="K17" i="188"/>
  <c r="K16" i="188"/>
  <c r="K15" i="188"/>
  <c r="F15" i="188"/>
  <c r="E15" i="188"/>
  <c r="D15" i="188"/>
  <c r="C15" i="188"/>
  <c r="B15" i="188"/>
  <c r="K14" i="188"/>
  <c r="K13" i="188"/>
  <c r="F13" i="188"/>
  <c r="E13" i="188"/>
  <c r="D13" i="188"/>
  <c r="C13" i="188"/>
  <c r="B13" i="188"/>
  <c r="K12" i="188"/>
  <c r="K11" i="188"/>
  <c r="F11" i="188"/>
  <c r="E16" i="188" s="1"/>
  <c r="E11" i="188"/>
  <c r="D11" i="188"/>
  <c r="C11" i="188"/>
  <c r="B11" i="188"/>
  <c r="F9" i="188"/>
  <c r="E9" i="188"/>
  <c r="D9" i="188"/>
  <c r="C9" i="188"/>
  <c r="B9" i="188"/>
  <c r="G3" i="188"/>
  <c r="G2" i="188"/>
  <c r="F2" i="188"/>
  <c r="E2" i="188"/>
  <c r="K43" i="187"/>
  <c r="K42" i="187"/>
  <c r="K41" i="187"/>
  <c r="K40" i="187"/>
  <c r="K32" i="187"/>
  <c r="K31" i="187"/>
  <c r="K30" i="187"/>
  <c r="K29" i="187"/>
  <c r="K28" i="187"/>
  <c r="C28" i="187"/>
  <c r="C29" i="187" s="1"/>
  <c r="C30" i="187" s="1"/>
  <c r="C31" i="187" s="1"/>
  <c r="C32" i="187" s="1"/>
  <c r="C33" i="187" s="1"/>
  <c r="C34" i="187" s="1"/>
  <c r="C35" i="187" s="1"/>
  <c r="C36" i="187" s="1"/>
  <c r="C37" i="187" s="1"/>
  <c r="C38" i="187" s="1"/>
  <c r="C39" i="187" s="1"/>
  <c r="C40" i="187" s="1"/>
  <c r="C41" i="187" s="1"/>
  <c r="C42" i="187" s="1"/>
  <c r="C43" i="187" s="1"/>
  <c r="C44" i="187" s="1"/>
  <c r="C45" i="187" s="1"/>
  <c r="C46" i="187" s="1"/>
  <c r="C47" i="187" s="1"/>
  <c r="C48" i="187" s="1"/>
  <c r="C49" i="187" s="1"/>
  <c r="C50" i="187" s="1"/>
  <c r="C51" i="187" s="1"/>
  <c r="C52" i="187" s="1"/>
  <c r="C53" i="187" s="1"/>
  <c r="C54" i="187" s="1"/>
  <c r="C55" i="187" s="1"/>
  <c r="C56" i="187" s="1"/>
  <c r="C57" i="187" s="1"/>
  <c r="C58" i="187" s="1"/>
  <c r="C59" i="187" s="1"/>
  <c r="C60" i="187" s="1"/>
  <c r="C61" i="187" s="1"/>
  <c r="C62" i="187" s="1"/>
  <c r="C63" i="187" s="1"/>
  <c r="C64" i="187" s="1"/>
  <c r="C65" i="187" s="1"/>
  <c r="C66" i="187" s="1"/>
  <c r="C67" i="187" s="1"/>
  <c r="C68" i="187" s="1"/>
  <c r="C69" i="187" s="1"/>
  <c r="C70" i="187" s="1"/>
  <c r="C71" i="187" s="1"/>
  <c r="C72" i="187" s="1"/>
  <c r="C73" i="187" s="1"/>
  <c r="C74" i="187" s="1"/>
  <c r="C75" i="187" s="1"/>
  <c r="C76" i="187" s="1"/>
  <c r="C77" i="187" s="1"/>
  <c r="C78" i="187" s="1"/>
  <c r="C79" i="187" s="1"/>
  <c r="C80" i="187" s="1"/>
  <c r="C81" i="187" s="1"/>
  <c r="C82" i="187" s="1"/>
  <c r="C83" i="187" s="1"/>
  <c r="C84" i="187" s="1"/>
  <c r="C85" i="187" s="1"/>
  <c r="C86" i="187" s="1"/>
  <c r="C87" i="187" s="1"/>
  <c r="C88" i="187" s="1"/>
  <c r="K27" i="187"/>
  <c r="G27" i="187"/>
  <c r="F27" i="187"/>
  <c r="E27" i="187"/>
  <c r="D27" i="187"/>
  <c r="C27" i="187"/>
  <c r="K26" i="187"/>
  <c r="B26" i="187"/>
  <c r="K24" i="187"/>
  <c r="B24" i="187"/>
  <c r="K23" i="187"/>
  <c r="K22" i="187"/>
  <c r="E22" i="187"/>
  <c r="D22" i="187"/>
  <c r="C22" i="187"/>
  <c r="B22" i="187"/>
  <c r="K21" i="187"/>
  <c r="K20" i="187"/>
  <c r="E20" i="187"/>
  <c r="D20" i="187"/>
  <c r="C20" i="187"/>
  <c r="B20" i="187"/>
  <c r="E18" i="187"/>
  <c r="D18" i="187"/>
  <c r="C18" i="187"/>
  <c r="B18" i="187"/>
  <c r="K17" i="187"/>
  <c r="K16" i="187"/>
  <c r="K15" i="187"/>
  <c r="F15" i="187"/>
  <c r="E15" i="187"/>
  <c r="D15" i="187"/>
  <c r="C15" i="187"/>
  <c r="B15" i="187"/>
  <c r="K14" i="187"/>
  <c r="K13" i="187"/>
  <c r="F13" i="187"/>
  <c r="E13" i="187"/>
  <c r="D13" i="187"/>
  <c r="C13" i="187"/>
  <c r="B13" i="187"/>
  <c r="K12" i="187"/>
  <c r="F11" i="187"/>
  <c r="E16" i="187" s="1"/>
  <c r="E11" i="187"/>
  <c r="D11" i="187"/>
  <c r="C11" i="187"/>
  <c r="B11" i="187"/>
  <c r="F9" i="187"/>
  <c r="E9" i="187"/>
  <c r="D9" i="187"/>
  <c r="C9" i="187"/>
  <c r="B9" i="187"/>
  <c r="G3" i="187"/>
  <c r="G2" i="187"/>
  <c r="F2" i="187"/>
  <c r="E2" i="187"/>
  <c r="E3" i="188" l="1"/>
  <c r="F3" i="188" s="1"/>
  <c r="E3" i="189"/>
  <c r="F3" i="189" s="1"/>
  <c r="E67" i="189"/>
  <c r="E71" i="189"/>
  <c r="E75" i="189"/>
  <c r="E79" i="189"/>
  <c r="E83" i="189"/>
  <c r="E87" i="189"/>
  <c r="E65" i="189"/>
  <c r="E69" i="189"/>
  <c r="E73" i="189"/>
  <c r="E77" i="189"/>
  <c r="E81" i="189"/>
  <c r="E85" i="189"/>
  <c r="E66" i="189"/>
  <c r="E70" i="189"/>
  <c r="E74" i="189"/>
  <c r="E78" i="189"/>
  <c r="E82" i="189"/>
  <c r="E86" i="189"/>
  <c r="E3" i="187"/>
  <c r="E17" i="187" s="1"/>
  <c r="E17" i="188" l="1"/>
  <c r="E34" i="188" s="1"/>
  <c r="G28" i="188"/>
  <c r="E78" i="188"/>
  <c r="E83" i="188"/>
  <c r="F3" i="187"/>
  <c r="E73" i="188"/>
  <c r="E88" i="188"/>
  <c r="E67" i="188"/>
  <c r="E72" i="188"/>
  <c r="E17" i="189"/>
  <c r="E41" i="189" s="1"/>
  <c r="G28" i="189"/>
  <c r="E84" i="189"/>
  <c r="E76" i="189"/>
  <c r="E68" i="189"/>
  <c r="E88" i="189"/>
  <c r="E80" i="189"/>
  <c r="E72" i="189"/>
  <c r="E74" i="188"/>
  <c r="E85" i="188"/>
  <c r="E68" i="188"/>
  <c r="E79" i="188"/>
  <c r="E86" i="188"/>
  <c r="E70" i="188"/>
  <c r="E81" i="188"/>
  <c r="E65" i="188"/>
  <c r="E80" i="188"/>
  <c r="E75" i="188"/>
  <c r="E69" i="188"/>
  <c r="E84" i="188"/>
  <c r="E82" i="188"/>
  <c r="E66" i="188"/>
  <c r="E77" i="188"/>
  <c r="E76" i="188"/>
  <c r="E87" i="188"/>
  <c r="E71" i="188"/>
  <c r="F18" i="187"/>
  <c r="E32" i="187"/>
  <c r="E40" i="187"/>
  <c r="E48" i="187"/>
  <c r="E56" i="187"/>
  <c r="E64" i="187"/>
  <c r="E72" i="187"/>
  <c r="E80" i="187"/>
  <c r="E88" i="187"/>
  <c r="E35" i="187"/>
  <c r="E43" i="187"/>
  <c r="E34" i="187"/>
  <c r="E42" i="187"/>
  <c r="E51" i="187"/>
  <c r="E59" i="187"/>
  <c r="E67" i="187"/>
  <c r="E75" i="187"/>
  <c r="E83" i="187"/>
  <c r="E29" i="187"/>
  <c r="E37" i="187"/>
  <c r="E45" i="187"/>
  <c r="E53" i="187"/>
  <c r="E61" i="187"/>
  <c r="E69" i="187"/>
  <c r="E77" i="187"/>
  <c r="E85" i="187"/>
  <c r="E46" i="187"/>
  <c r="E54" i="187"/>
  <c r="E62" i="187"/>
  <c r="E70" i="187"/>
  <c r="E78" i="187"/>
  <c r="E86" i="187"/>
  <c r="E36" i="187"/>
  <c r="E44" i="187"/>
  <c r="E52" i="187"/>
  <c r="E60" i="187"/>
  <c r="E68" i="187"/>
  <c r="E76" i="187"/>
  <c r="E84" i="187"/>
  <c r="E31" i="187"/>
  <c r="E39" i="187"/>
  <c r="F29" i="187"/>
  <c r="E30" i="187"/>
  <c r="E38" i="187"/>
  <c r="E47" i="187"/>
  <c r="E55" i="187"/>
  <c r="E63" i="187"/>
  <c r="E71" i="187"/>
  <c r="E79" i="187"/>
  <c r="E87" i="187"/>
  <c r="E33" i="187"/>
  <c r="E41" i="187"/>
  <c r="E49" i="187"/>
  <c r="E57" i="187"/>
  <c r="E65" i="187"/>
  <c r="E73" i="187"/>
  <c r="E81" i="187"/>
  <c r="E50" i="187"/>
  <c r="E58" i="187"/>
  <c r="E66" i="187"/>
  <c r="E74" i="187"/>
  <c r="E82" i="187"/>
  <c r="G28" i="187"/>
  <c r="E58" i="188" l="1"/>
  <c r="E63" i="188"/>
  <c r="F29" i="188"/>
  <c r="E29" i="188"/>
  <c r="E37" i="188"/>
  <c r="E31" i="188"/>
  <c r="E43" i="188"/>
  <c r="E42" i="188"/>
  <c r="E60" i="188"/>
  <c r="E45" i="188"/>
  <c r="E59" i="188"/>
  <c r="F18" i="188"/>
  <c r="E32" i="188"/>
  <c r="E55" i="188"/>
  <c r="E61" i="188"/>
  <c r="E47" i="188"/>
  <c r="E33" i="188"/>
  <c r="E56" i="188"/>
  <c r="E36" i="188"/>
  <c r="E48" i="188"/>
  <c r="E39" i="188"/>
  <c r="E54" i="188"/>
  <c r="E30" i="188"/>
  <c r="E53" i="188"/>
  <c r="E40" i="188"/>
  <c r="E62" i="188"/>
  <c r="E46" i="188"/>
  <c r="E50" i="188"/>
  <c r="E41" i="188"/>
  <c r="E44" i="188"/>
  <c r="E64" i="188"/>
  <c r="E49" i="188"/>
  <c r="E38" i="188"/>
  <c r="E52" i="188"/>
  <c r="E51" i="188"/>
  <c r="E57" i="188"/>
  <c r="E35" i="188"/>
  <c r="E63" i="189"/>
  <c r="F18" i="189"/>
  <c r="E49" i="189"/>
  <c r="E60" i="189"/>
  <c r="E31" i="189"/>
  <c r="E62" i="189"/>
  <c r="E56" i="189"/>
  <c r="E43" i="189"/>
  <c r="E58" i="189"/>
  <c r="E40" i="189"/>
  <c r="E34" i="189"/>
  <c r="E59" i="189"/>
  <c r="E38" i="189"/>
  <c r="E44" i="189"/>
  <c r="F29" i="189"/>
  <c r="E37" i="189"/>
  <c r="E57" i="189"/>
  <c r="D29" i="187"/>
  <c r="F30" i="187" s="1"/>
  <c r="E36" i="189"/>
  <c r="E64" i="189"/>
  <c r="E35" i="189"/>
  <c r="E52" i="189"/>
  <c r="E47" i="189"/>
  <c r="E54" i="189"/>
  <c r="E53" i="189"/>
  <c r="E45" i="189"/>
  <c r="E46" i="189"/>
  <c r="E48" i="189"/>
  <c r="E32" i="189"/>
  <c r="E39" i="189"/>
  <c r="E33" i="189"/>
  <c r="E51" i="189"/>
  <c r="E42" i="189"/>
  <c r="E55" i="189"/>
  <c r="E89" i="187"/>
  <c r="E29" i="189"/>
  <c r="E30" i="189"/>
  <c r="E50" i="189"/>
  <c r="E61" i="189"/>
  <c r="D29" i="188" l="1"/>
  <c r="G29" i="188" s="1"/>
  <c r="D29" i="189"/>
  <c r="F30" i="189" s="1"/>
  <c r="E89" i="188"/>
  <c r="G29" i="187"/>
  <c r="E89" i="189"/>
  <c r="D30" i="187"/>
  <c r="F30" i="188" l="1"/>
  <c r="D30" i="188" s="1"/>
  <c r="G30" i="188" s="1"/>
  <c r="G29" i="189"/>
  <c r="D30" i="189"/>
  <c r="G30" i="187"/>
  <c r="F31" i="187"/>
  <c r="F31" i="188" l="1"/>
  <c r="D31" i="188" s="1"/>
  <c r="G31" i="188" s="1"/>
  <c r="G30" i="189"/>
  <c r="F31" i="189"/>
  <c r="D31" i="187"/>
  <c r="F32" i="188" l="1"/>
  <c r="D32" i="188" s="1"/>
  <c r="F33" i="188" s="1"/>
  <c r="D33" i="188" s="1"/>
  <c r="G33" i="188" s="1"/>
  <c r="D31" i="189"/>
  <c r="G31" i="187"/>
  <c r="F32" i="187"/>
  <c r="F34" i="188" l="1"/>
  <c r="D34" i="188" s="1"/>
  <c r="G34" i="188" s="1"/>
  <c r="G32" i="188"/>
  <c r="G31" i="189"/>
  <c r="F32" i="189"/>
  <c r="D32" i="187"/>
  <c r="F35" i="188" l="1"/>
  <c r="D35" i="188" s="1"/>
  <c r="G35" i="188" s="1"/>
  <c r="D32" i="189"/>
  <c r="G32" i="187"/>
  <c r="F33" i="187"/>
  <c r="D33" i="187" s="1"/>
  <c r="G33" i="187" s="1"/>
  <c r="F36" i="188" l="1"/>
  <c r="D36" i="188" s="1"/>
  <c r="G36" i="188" s="1"/>
  <c r="G32" i="189"/>
  <c r="F33" i="189"/>
  <c r="D33" i="189" s="1"/>
  <c r="G33" i="189" s="1"/>
  <c r="F34" i="187"/>
  <c r="D34" i="187" s="1"/>
  <c r="F37" i="188" l="1"/>
  <c r="D37" i="188" s="1"/>
  <c r="G37" i="188" s="1"/>
  <c r="F34" i="189"/>
  <c r="D34" i="189" s="1"/>
  <c r="G34" i="189" s="1"/>
  <c r="G34" i="187"/>
  <c r="F35" i="187"/>
  <c r="D35" i="187" s="1"/>
  <c r="F38" i="188" l="1"/>
  <c r="D38" i="188" s="1"/>
  <c r="G38" i="188" s="1"/>
  <c r="F35" i="189"/>
  <c r="D35" i="189" s="1"/>
  <c r="G35" i="189" s="1"/>
  <c r="G35" i="187"/>
  <c r="F36" i="187"/>
  <c r="D36" i="187" s="1"/>
  <c r="F39" i="188" l="1"/>
  <c r="D39" i="188" s="1"/>
  <c r="F40" i="188" s="1"/>
  <c r="D40" i="188" s="1"/>
  <c r="G40" i="188" s="1"/>
  <c r="F36" i="189"/>
  <c r="D36" i="189" s="1"/>
  <c r="G36" i="189" s="1"/>
  <c r="G36" i="187"/>
  <c r="F37" i="187"/>
  <c r="D37" i="187" s="1"/>
  <c r="F41" i="188" l="1"/>
  <c r="D41" i="188" s="1"/>
  <c r="G41" i="188" s="1"/>
  <c r="G39" i="188"/>
  <c r="F37" i="189"/>
  <c r="D37" i="189" s="1"/>
  <c r="G37" i="189" s="1"/>
  <c r="G37" i="187"/>
  <c r="F38" i="187"/>
  <c r="D38" i="187" s="1"/>
  <c r="F42" i="188" l="1"/>
  <c r="D42" i="188" s="1"/>
  <c r="G42" i="188" s="1"/>
  <c r="F38" i="189"/>
  <c r="D38" i="189" s="1"/>
  <c r="G38" i="189" s="1"/>
  <c r="G38" i="187"/>
  <c r="F39" i="187"/>
  <c r="D39" i="187" s="1"/>
  <c r="F43" i="188" l="1"/>
  <c r="D43" i="188" s="1"/>
  <c r="G43" i="188" s="1"/>
  <c r="F39" i="189"/>
  <c r="D39" i="189" s="1"/>
  <c r="G39" i="189" s="1"/>
  <c r="G39" i="187"/>
  <c r="F40" i="187"/>
  <c r="D40" i="187" s="1"/>
  <c r="F44" i="188" l="1"/>
  <c r="D44" i="188" s="1"/>
  <c r="G44" i="188" s="1"/>
  <c r="F40" i="189"/>
  <c r="D40" i="189" s="1"/>
  <c r="G40" i="189" s="1"/>
  <c r="G40" i="187"/>
  <c r="F41" i="187"/>
  <c r="F45" i="188" l="1"/>
  <c r="D45" i="188" s="1"/>
  <c r="G45" i="188" s="1"/>
  <c r="F41" i="189"/>
  <c r="D41" i="189" s="1"/>
  <c r="G41" i="189" s="1"/>
  <c r="D41" i="187"/>
  <c r="F46" i="188" l="1"/>
  <c r="D46" i="188" s="1"/>
  <c r="G46" i="188" s="1"/>
  <c r="F42" i="189"/>
  <c r="D42" i="189" s="1"/>
  <c r="G42" i="189" s="1"/>
  <c r="G41" i="187"/>
  <c r="F42" i="187"/>
  <c r="F47" i="188" l="1"/>
  <c r="D47" i="188" s="1"/>
  <c r="G47" i="188" s="1"/>
  <c r="F43" i="189"/>
  <c r="D43" i="189" s="1"/>
  <c r="G43" i="189" s="1"/>
  <c r="D42" i="187"/>
  <c r="F48" i="188" l="1"/>
  <c r="D48" i="188" s="1"/>
  <c r="G48" i="188" s="1"/>
  <c r="F44" i="189"/>
  <c r="D44" i="189" s="1"/>
  <c r="G44" i="189" s="1"/>
  <c r="G42" i="187"/>
  <c r="F43" i="187"/>
  <c r="F49" i="188" l="1"/>
  <c r="D49" i="188" s="1"/>
  <c r="G49" i="188" s="1"/>
  <c r="F45" i="189"/>
  <c r="D45" i="189" s="1"/>
  <c r="G45" i="189" s="1"/>
  <c r="F50" i="188"/>
  <c r="D50" i="188" s="1"/>
  <c r="D43" i="187"/>
  <c r="F46" i="189" l="1"/>
  <c r="D46" i="189" s="1"/>
  <c r="G46" i="189" s="1"/>
  <c r="G50" i="188"/>
  <c r="F51" i="188"/>
  <c r="D51" i="188" s="1"/>
  <c r="G43" i="187"/>
  <c r="F44" i="187"/>
  <c r="F47" i="189" l="1"/>
  <c r="D47" i="189" s="1"/>
  <c r="G47" i="189" s="1"/>
  <c r="G51" i="188"/>
  <c r="F52" i="188"/>
  <c r="D52" i="188" s="1"/>
  <c r="D44" i="187"/>
  <c r="F48" i="189" l="1"/>
  <c r="D48" i="189" s="1"/>
  <c r="G48" i="189" s="1"/>
  <c r="G52" i="188"/>
  <c r="F53" i="188"/>
  <c r="D53" i="188" s="1"/>
  <c r="G44" i="187"/>
  <c r="F45" i="187"/>
  <c r="F49" i="189" l="1"/>
  <c r="D49" i="189" s="1"/>
  <c r="G49" i="189" s="1"/>
  <c r="G53" i="188"/>
  <c r="F54" i="188"/>
  <c r="D54" i="188" s="1"/>
  <c r="D45" i="187"/>
  <c r="F50" i="189" l="1"/>
  <c r="D50" i="189" s="1"/>
  <c r="G50" i="189" s="1"/>
  <c r="G54" i="188"/>
  <c r="F55" i="188"/>
  <c r="D55" i="188" s="1"/>
  <c r="G45" i="187"/>
  <c r="F46" i="187"/>
  <c r="F51" i="189" l="1"/>
  <c r="D51" i="189" s="1"/>
  <c r="G51" i="189" s="1"/>
  <c r="G55" i="188"/>
  <c r="F56" i="188"/>
  <c r="D56" i="188" s="1"/>
  <c r="D46" i="187"/>
  <c r="F52" i="189" l="1"/>
  <c r="D52" i="189" s="1"/>
  <c r="G52" i="189" s="1"/>
  <c r="G56" i="188"/>
  <c r="F57" i="188"/>
  <c r="D57" i="188" s="1"/>
  <c r="G46" i="187"/>
  <c r="F47" i="187"/>
  <c r="D47" i="187" s="1"/>
  <c r="F53" i="189" l="1"/>
  <c r="D53" i="189" s="1"/>
  <c r="G53" i="189" s="1"/>
  <c r="G57" i="188"/>
  <c r="F58" i="188"/>
  <c r="D58" i="188" s="1"/>
  <c r="G47" i="187"/>
  <c r="F48" i="187"/>
  <c r="D48" i="187" s="1"/>
  <c r="F54" i="189" l="1"/>
  <c r="D54" i="189" s="1"/>
  <c r="G54" i="189" s="1"/>
  <c r="G58" i="188"/>
  <c r="F59" i="188"/>
  <c r="D59" i="188" s="1"/>
  <c r="G48" i="187"/>
  <c r="F49" i="187"/>
  <c r="D49" i="187" s="1"/>
  <c r="F55" i="189" l="1"/>
  <c r="D55" i="189" s="1"/>
  <c r="G55" i="189" s="1"/>
  <c r="G59" i="188"/>
  <c r="F60" i="188"/>
  <c r="D60" i="188" s="1"/>
  <c r="G49" i="187"/>
  <c r="F50" i="187"/>
  <c r="D50" i="187" s="1"/>
  <c r="F56" i="189" l="1"/>
  <c r="D56" i="189" s="1"/>
  <c r="G56" i="189" s="1"/>
  <c r="G60" i="188"/>
  <c r="F61" i="188"/>
  <c r="D61" i="188" s="1"/>
  <c r="G50" i="187"/>
  <c r="F51" i="187"/>
  <c r="D51" i="187" s="1"/>
  <c r="F57" i="189" l="1"/>
  <c r="D57" i="189" s="1"/>
  <c r="G57" i="189" s="1"/>
  <c r="G61" i="188"/>
  <c r="F62" i="188"/>
  <c r="D62" i="188" s="1"/>
  <c r="G51" i="187"/>
  <c r="F52" i="187"/>
  <c r="D52" i="187" s="1"/>
  <c r="F58" i="189" l="1"/>
  <c r="D58" i="189" s="1"/>
  <c r="G58" i="189" s="1"/>
  <c r="G62" i="188"/>
  <c r="F63" i="188"/>
  <c r="D63" i="188" s="1"/>
  <c r="G52" i="187"/>
  <c r="F53" i="187"/>
  <c r="D53" i="187" s="1"/>
  <c r="F59" i="189" l="1"/>
  <c r="D59" i="189" s="1"/>
  <c r="G59" i="189" s="1"/>
  <c r="G63" i="188"/>
  <c r="F64" i="188"/>
  <c r="D64" i="188" s="1"/>
  <c r="G53" i="187"/>
  <c r="F54" i="187"/>
  <c r="D54" i="187" s="1"/>
  <c r="F60" i="189" l="1"/>
  <c r="D60" i="189" s="1"/>
  <c r="G60" i="189" s="1"/>
  <c r="G64" i="188"/>
  <c r="F65" i="188"/>
  <c r="D65" i="188" s="1"/>
  <c r="G54" i="187"/>
  <c r="F55" i="187"/>
  <c r="D55" i="187" s="1"/>
  <c r="F61" i="189" l="1"/>
  <c r="D61" i="189" s="1"/>
  <c r="G61" i="189" s="1"/>
  <c r="G65" i="188"/>
  <c r="F66" i="188"/>
  <c r="D66" i="188" s="1"/>
  <c r="G55" i="187"/>
  <c r="F56" i="187"/>
  <c r="D56" i="187" s="1"/>
  <c r="F62" i="189" l="1"/>
  <c r="D62" i="189" s="1"/>
  <c r="G62" i="189" s="1"/>
  <c r="G66" i="188"/>
  <c r="F67" i="188"/>
  <c r="D67" i="188" s="1"/>
  <c r="G56" i="187"/>
  <c r="F57" i="187"/>
  <c r="D57" i="187" s="1"/>
  <c r="F63" i="189" l="1"/>
  <c r="D63" i="189" s="1"/>
  <c r="G63" i="189" s="1"/>
  <c r="G67" i="188"/>
  <c r="F68" i="188"/>
  <c r="D68" i="188" s="1"/>
  <c r="G57" i="187"/>
  <c r="F58" i="187"/>
  <c r="D58" i="187" s="1"/>
  <c r="F64" i="189" l="1"/>
  <c r="D64" i="189" s="1"/>
  <c r="G64" i="189" s="1"/>
  <c r="G68" i="188"/>
  <c r="F69" i="188"/>
  <c r="D69" i="188" s="1"/>
  <c r="G58" i="187"/>
  <c r="F59" i="187"/>
  <c r="D59" i="187" s="1"/>
  <c r="F65" i="189" l="1"/>
  <c r="D65" i="189" s="1"/>
  <c r="G65" i="189" s="1"/>
  <c r="G69" i="188"/>
  <c r="F70" i="188"/>
  <c r="D70" i="188" s="1"/>
  <c r="G59" i="187"/>
  <c r="F60" i="187"/>
  <c r="D60" i="187" s="1"/>
  <c r="F66" i="189" l="1"/>
  <c r="D66" i="189" s="1"/>
  <c r="G66" i="189" s="1"/>
  <c r="G70" i="188"/>
  <c r="F71" i="188"/>
  <c r="D71" i="188" s="1"/>
  <c r="G60" i="187"/>
  <c r="F61" i="187"/>
  <c r="D61" i="187" s="1"/>
  <c r="F67" i="189" l="1"/>
  <c r="D67" i="189" s="1"/>
  <c r="G67" i="189" s="1"/>
  <c r="G71" i="188"/>
  <c r="F72" i="188"/>
  <c r="D72" i="188" s="1"/>
  <c r="G61" i="187"/>
  <c r="F62" i="187"/>
  <c r="D62" i="187" s="1"/>
  <c r="F68" i="189" l="1"/>
  <c r="D68" i="189" s="1"/>
  <c r="G68" i="189" s="1"/>
  <c r="G72" i="188"/>
  <c r="F73" i="188"/>
  <c r="D73" i="188" s="1"/>
  <c r="G62" i="187"/>
  <c r="F63" i="187"/>
  <c r="D63" i="187" s="1"/>
  <c r="F69" i="189" l="1"/>
  <c r="D69" i="189" s="1"/>
  <c r="G69" i="189" s="1"/>
  <c r="G73" i="188"/>
  <c r="F74" i="188"/>
  <c r="D74" i="188" s="1"/>
  <c r="G63" i="187"/>
  <c r="F64" i="187"/>
  <c r="D64" i="187" s="1"/>
  <c r="F70" i="189" l="1"/>
  <c r="D70" i="189" s="1"/>
  <c r="G70" i="189" s="1"/>
  <c r="G74" i="188"/>
  <c r="F75" i="188"/>
  <c r="D75" i="188" s="1"/>
  <c r="G64" i="187"/>
  <c r="F65" i="187"/>
  <c r="D65" i="187" s="1"/>
  <c r="F71" i="189" l="1"/>
  <c r="D71" i="189" s="1"/>
  <c r="G71" i="189" s="1"/>
  <c r="G75" i="188"/>
  <c r="F76" i="188"/>
  <c r="D76" i="188" s="1"/>
  <c r="G65" i="187"/>
  <c r="F66" i="187"/>
  <c r="D66" i="187" s="1"/>
  <c r="F72" i="189" l="1"/>
  <c r="D72" i="189" s="1"/>
  <c r="G72" i="189" s="1"/>
  <c r="G76" i="188"/>
  <c r="F77" i="188"/>
  <c r="D77" i="188" s="1"/>
  <c r="G66" i="187"/>
  <c r="F67" i="187"/>
  <c r="D67" i="187" s="1"/>
  <c r="F73" i="189" l="1"/>
  <c r="D73" i="189" s="1"/>
  <c r="G73" i="189" s="1"/>
  <c r="G77" i="188"/>
  <c r="F78" i="188"/>
  <c r="D78" i="188" s="1"/>
  <c r="G67" i="187"/>
  <c r="F68" i="187"/>
  <c r="D68" i="187" s="1"/>
  <c r="F74" i="189" l="1"/>
  <c r="D74" i="189" s="1"/>
  <c r="G74" i="189" s="1"/>
  <c r="G78" i="188"/>
  <c r="F79" i="188"/>
  <c r="D79" i="188" s="1"/>
  <c r="G68" i="187"/>
  <c r="F69" i="187"/>
  <c r="D69" i="187" s="1"/>
  <c r="F75" i="189" l="1"/>
  <c r="D75" i="189" s="1"/>
  <c r="G75" i="189" s="1"/>
  <c r="G79" i="188"/>
  <c r="F80" i="188"/>
  <c r="D80" i="188" s="1"/>
  <c r="G69" i="187"/>
  <c r="F70" i="187"/>
  <c r="D70" i="187" s="1"/>
  <c r="F76" i="189" l="1"/>
  <c r="D76" i="189" s="1"/>
  <c r="G76" i="189" s="1"/>
  <c r="G80" i="188"/>
  <c r="F81" i="188"/>
  <c r="D81" i="188" s="1"/>
  <c r="G70" i="187"/>
  <c r="F71" i="187"/>
  <c r="D71" i="187" s="1"/>
  <c r="F77" i="189" l="1"/>
  <c r="D77" i="189" s="1"/>
  <c r="G77" i="189" s="1"/>
  <c r="G81" i="188"/>
  <c r="F82" i="188"/>
  <c r="D82" i="188" s="1"/>
  <c r="G71" i="187"/>
  <c r="F72" i="187"/>
  <c r="D72" i="187" s="1"/>
  <c r="F78" i="189" l="1"/>
  <c r="D78" i="189" s="1"/>
  <c r="G78" i="189" s="1"/>
  <c r="G82" i="188"/>
  <c r="F83" i="188"/>
  <c r="D83" i="188" s="1"/>
  <c r="G72" i="187"/>
  <c r="F73" i="187"/>
  <c r="D73" i="187" s="1"/>
  <c r="F79" i="189" l="1"/>
  <c r="D79" i="189" s="1"/>
  <c r="G79" i="189" s="1"/>
  <c r="G83" i="188"/>
  <c r="F84" i="188"/>
  <c r="D84" i="188" s="1"/>
  <c r="G73" i="187"/>
  <c r="F74" i="187"/>
  <c r="D74" i="187" s="1"/>
  <c r="F80" i="189" l="1"/>
  <c r="D80" i="189" s="1"/>
  <c r="G80" i="189" s="1"/>
  <c r="G84" i="188"/>
  <c r="F85" i="188"/>
  <c r="D85" i="188" s="1"/>
  <c r="G74" i="187"/>
  <c r="F75" i="187"/>
  <c r="D75" i="187" s="1"/>
  <c r="F81" i="189" l="1"/>
  <c r="D81" i="189" s="1"/>
  <c r="G81" i="189" s="1"/>
  <c r="G85" i="188"/>
  <c r="F86" i="188"/>
  <c r="D86" i="188" s="1"/>
  <c r="G75" i="187"/>
  <c r="F76" i="187"/>
  <c r="D76" i="187" s="1"/>
  <c r="F82" i="189" l="1"/>
  <c r="D82" i="189" s="1"/>
  <c r="G82" i="189" s="1"/>
  <c r="G86" i="188"/>
  <c r="F87" i="188"/>
  <c r="D87" i="188" s="1"/>
  <c r="G76" i="187"/>
  <c r="F77" i="187"/>
  <c r="D77" i="187" s="1"/>
  <c r="F83" i="189" l="1"/>
  <c r="D83" i="189" s="1"/>
  <c r="G83" i="189" s="1"/>
  <c r="G87" i="188"/>
  <c r="D88" i="188"/>
  <c r="F88" i="188"/>
  <c r="F89" i="188" s="1"/>
  <c r="G77" i="187"/>
  <c r="F78" i="187"/>
  <c r="D78" i="187" s="1"/>
  <c r="F84" i="189" l="1"/>
  <c r="D84" i="189" s="1"/>
  <c r="G84" i="189" s="1"/>
  <c r="G88" i="188"/>
  <c r="D89" i="188"/>
  <c r="F7" i="188" s="1"/>
  <c r="G78" i="187"/>
  <c r="F79" i="187"/>
  <c r="D79" i="187" s="1"/>
  <c r="F85" i="189" l="1"/>
  <c r="D85" i="189" s="1"/>
  <c r="G85" i="189" s="1"/>
  <c r="F24" i="188"/>
  <c r="G89" i="188"/>
  <c r="F20" i="188" s="1"/>
  <c r="F22" i="188" s="1"/>
  <c r="G79" i="187"/>
  <c r="F80" i="187"/>
  <c r="D80" i="187" s="1"/>
  <c r="F86" i="189" l="1"/>
  <c r="D86" i="189" s="1"/>
  <c r="G86" i="189" s="1"/>
  <c r="G80" i="187"/>
  <c r="F81" i="187"/>
  <c r="D81" i="187" s="1"/>
  <c r="F87" i="189" l="1"/>
  <c r="D87" i="189" s="1"/>
  <c r="G87" i="189" s="1"/>
  <c r="D88" i="189"/>
  <c r="G81" i="187"/>
  <c r="F82" i="187"/>
  <c r="D82" i="187" s="1"/>
  <c r="F88" i="189" l="1"/>
  <c r="F89" i="189" s="1"/>
  <c r="D89" i="189"/>
  <c r="F7" i="189" s="1"/>
  <c r="G82" i="187"/>
  <c r="F83" i="187"/>
  <c r="D83" i="187" s="1"/>
  <c r="G88" i="189" l="1"/>
  <c r="G89" i="189" s="1"/>
  <c r="F20" i="189" s="1"/>
  <c r="F22" i="189" s="1"/>
  <c r="G83" i="187"/>
  <c r="F84" i="187"/>
  <c r="D84" i="187" s="1"/>
  <c r="F24" i="189" l="1"/>
  <c r="G84" i="187"/>
  <c r="F85" i="187"/>
  <c r="D85" i="187" s="1"/>
  <c r="G85" i="187" l="1"/>
  <c r="F86" i="187"/>
  <c r="D86" i="187" s="1"/>
  <c r="G86" i="187" l="1"/>
  <c r="F87" i="187"/>
  <c r="D87" i="187" s="1"/>
  <c r="G87" i="187" l="1"/>
  <c r="D88" i="187"/>
  <c r="F88" i="187"/>
  <c r="F89" i="187" s="1"/>
  <c r="G88" i="187" l="1"/>
  <c r="D89" i="187"/>
  <c r="F7" i="187" s="1"/>
  <c r="F24" i="187" l="1"/>
  <c r="G89" i="187"/>
  <c r="F20" i="187" s="1"/>
  <c r="F22" i="187" s="1"/>
  <c r="G20" i="165" l="1"/>
  <c r="H20" i="165"/>
  <c r="K20" i="165" s="1"/>
  <c r="G21" i="165"/>
  <c r="H21" i="165"/>
  <c r="K21" i="165" s="1"/>
  <c r="G22" i="165"/>
  <c r="H22" i="165"/>
  <c r="K22" i="165" s="1"/>
  <c r="G23" i="165"/>
  <c r="H23" i="165"/>
  <c r="K23" i="165" s="1"/>
  <c r="H3" i="188" l="1"/>
  <c r="G15" i="165"/>
  <c r="H15" i="165"/>
  <c r="K15" i="165" s="1"/>
  <c r="G16" i="165"/>
  <c r="H16" i="165"/>
  <c r="K16" i="165" s="1"/>
  <c r="G17" i="165"/>
  <c r="H17" i="165"/>
  <c r="K17" i="165" s="1"/>
  <c r="G18" i="165"/>
  <c r="H18" i="165"/>
  <c r="K18" i="165" s="1"/>
  <c r="G19" i="165"/>
  <c r="H19" i="165"/>
  <c r="K19" i="165" s="1"/>
  <c r="H14" i="165" l="1"/>
  <c r="K14" i="165" s="1"/>
  <c r="G14" i="165"/>
  <c r="H13" i="165"/>
  <c r="K13" i="165" s="1"/>
  <c r="G13" i="165"/>
  <c r="H12" i="165"/>
  <c r="K12" i="165" s="1"/>
  <c r="G12" i="165"/>
  <c r="H11" i="165"/>
  <c r="K11" i="165" s="1"/>
  <c r="G11" i="165"/>
  <c r="H10" i="165"/>
  <c r="K10" i="165" s="1"/>
  <c r="G10" i="165"/>
  <c r="H3" i="187" l="1"/>
  <c r="H4" i="165"/>
  <c r="H5" i="165"/>
  <c r="H6" i="165"/>
  <c r="H7" i="165"/>
  <c r="H8" i="165"/>
  <c r="H9" i="165"/>
  <c r="G4" i="165" l="1"/>
  <c r="K4" i="165"/>
  <c r="G5" i="165"/>
  <c r="K5" i="165"/>
  <c r="G6" i="165"/>
  <c r="K6" i="165"/>
  <c r="G7" i="165"/>
  <c r="K7" i="165"/>
  <c r="G8" i="165"/>
  <c r="K8" i="165"/>
  <c r="G9" i="165"/>
  <c r="K9" i="165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<sst xmlns="http://schemas.openxmlformats.org/spreadsheetml/2006/main" count="248" uniqueCount="128">
  <si>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</si>
  <si>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</si>
  <si>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</si>
  <si>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</si>
  <si>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</si>
  <si>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</si>
  <si>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</si>
  <si>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</si>
  <si>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</si>
  <si>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</si>
  <si>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</si>
  <si>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</si>
  <si>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</si>
  <si>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</si>
  <si>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</si>
  <si>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</si>
  <si>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</si>
  <si>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</si>
  <si>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</si>
  <si>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</si>
  <si>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</si>
  <si>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</si>
  <si>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</si>
  <si>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</si>
  <si>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</si>
  <si>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</si>
  <si>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</si>
  <si>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</si>
  <si>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</si>
  <si>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</si>
  <si>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</si>
  <si>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</si>
  <si>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</si>
  <si>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</si>
  <si>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</si>
  <si>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</si>
  <si>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</si>
  <si>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</si>
  <si>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</si>
  <si>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</si>
  <si>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</si>
  <si>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</si>
  <si>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  <r>
      <rPr>
        <b/>
        <i/>
        <sz val="11"/>
        <rFont val="Arial Cyr"/>
        <family val="2"/>
        <charset val="204"/>
      </rPr>
      <t>(без врахування страхівки)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</si>
  <si>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</si>
  <si>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</si>
  <si>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</si>
  <si>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Смарт Фінанс</t>
  </si>
  <si>
    <t>Альфа Банк</t>
  </si>
  <si>
    <t>ПУМБ</t>
  </si>
  <si>
    <t>Термін, 48 міс. (АБ)</t>
  </si>
  <si>
    <t>Термін, 36 міс. (АБ)</t>
  </si>
  <si>
    <t>Термін, 30 міс. (АБ)</t>
  </si>
  <si>
    <t>Термін, 24 міс. (АБ)</t>
  </si>
  <si>
    <t>Термін, 18 міс. (АБ)</t>
  </si>
  <si>
    <t>Термін, 12 міс. (АБ)</t>
  </si>
  <si>
    <t>Термін, 36 міс. (ПУМБ)</t>
  </si>
  <si>
    <t>Термін, 30 міс. (ПУМБ)</t>
  </si>
  <si>
    <t>Термін, 24 міс. (ПУМБ)</t>
  </si>
  <si>
    <t>Термін, 18 міс. (ПУМБ)</t>
  </si>
  <si>
    <t>Термін, 12 міс. (ПУМБ)</t>
  </si>
  <si>
    <t>Термін, 36 міс. (СФ)</t>
  </si>
  <si>
    <t>Термін, 24 міс. (СФ)</t>
  </si>
  <si>
    <t>Термін, 18 міс. (СФ)</t>
  </si>
  <si>
    <t>Термін, 12 міс. (СФ)</t>
  </si>
  <si>
    <t>Термін, 36 міс. (ПУМБ БК)</t>
  </si>
  <si>
    <t>Термін, 30 міс. (ПУМБ БК)</t>
  </si>
  <si>
    <t>Термін, 24 міс. (ПУМБ БК)</t>
  </si>
  <si>
    <t>Термін, 18 міс. (ПУМБ БК)</t>
  </si>
  <si>
    <t>Термін, 12 міс. (ПУМБ БК)</t>
  </si>
  <si>
    <t>BIG CASH (ОТП), 48 міс.</t>
  </si>
  <si>
    <t>BIG CASH (ОТП), 36 міс.</t>
  </si>
  <si>
    <t>BIG CASH (ОТП), 30 міс.</t>
  </si>
  <si>
    <t>BIG CASH (ОТП), 24 міс.</t>
  </si>
  <si>
    <t>BIG CASH (ОТП), 18 міс.</t>
  </si>
  <si>
    <t>BIG CASH (ОТП), 12 міс.</t>
  </si>
  <si>
    <t>Кредит Маркет, 12 міс.</t>
  </si>
  <si>
    <t>Кредит Маркет, 36 міс.</t>
  </si>
  <si>
    <t>Кредит Маркет, 30 міс.</t>
  </si>
  <si>
    <t>Кредит Маркет, 24 міс.</t>
  </si>
  <si>
    <t>Кредит Маркет, 18 міс.</t>
  </si>
  <si>
    <t>Кредити АТ "Ідея Банк" також можна оформити через мережу торгових точок кредитних посередників партнерів Банку:</t>
  </si>
  <si>
    <t>Посилання на калькулятор</t>
  </si>
  <si>
    <t>Калькулятор</t>
  </si>
  <si>
    <t>Назва та контакти</t>
  </si>
  <si>
    <t>Продукт</t>
  </si>
  <si>
    <t>Біг Кеш Х ПУМБ</t>
  </si>
  <si>
    <t>Кредит готівкою Х ПУМБ</t>
  </si>
  <si>
    <t>Консолідований А Х</t>
  </si>
  <si>
    <t>Бюджетний Х</t>
  </si>
  <si>
    <t>Пенсійний Х</t>
  </si>
  <si>
    <t>Біг Кеш Х ОТП</t>
  </si>
  <si>
    <r>
      <rPr>
        <b/>
        <sz val="14"/>
        <rFont val="Segoe UI"/>
        <family val="2"/>
        <charset val="204"/>
      </rPr>
      <t>ТОВАРИСТВО З ОБМЕЖЕНОЮ ВІДПОВІДАЛЬНІСТЮ «ФІНАНСОВА КОМПАНІЯ «ЦЕНТР ФІНАНСОВИХ РІШЕНЬ»</t>
    </r>
    <r>
      <rPr>
        <sz val="14"/>
        <rFont val="Segoe UI"/>
        <family val="2"/>
        <charset val="204"/>
      </rPr>
      <t xml:space="preserve">
03680, м. Київ, вул. Велика Васильківська, 72, поверх 9, офіс 4.
Тел.: 0-800-308-707
www.kreditmarket.ua</t>
    </r>
  </si>
  <si>
    <r>
      <t xml:space="preserve">Акціонерне товариство «ОТП Банк»
</t>
    </r>
    <r>
      <rPr>
        <sz val="14"/>
        <rFont val="Segoe UI"/>
        <family val="2"/>
        <charset val="204"/>
      </rPr>
      <t>01033, м. Київ, вул. Жилянська, 43
тел.: (044) 490 05 00
www.otpbank.com.ua/</t>
    </r>
  </si>
  <si>
    <r>
      <t xml:space="preserve">АКЦІОНЕРНЕ ТОВАРИСТВО «ПЕРШИЙ УКРАЇНСЬКИЙ МІЖНАРОДНИЙ БАНК»
</t>
    </r>
    <r>
      <rPr>
        <sz val="14"/>
        <rFont val="Segoe UI"/>
        <family val="2"/>
        <charset val="204"/>
      </rPr>
      <t>04070, м. Київ,</t>
    </r>
    <r>
      <rPr>
        <b/>
        <sz val="14"/>
        <rFont val="Segoe UI"/>
        <family val="2"/>
        <charset val="204"/>
      </rPr>
      <t xml:space="preserve"> </t>
    </r>
    <r>
      <rPr>
        <sz val="14"/>
        <rFont val="Segoe UI"/>
        <family val="2"/>
        <charset val="204"/>
      </rPr>
      <t xml:space="preserve">вул. Андріївська, 4 
тел.: (044) 290-7-290 
www.pumb.ua/
</t>
    </r>
  </si>
  <si>
    <t>Кредит готівкою Х 
Кредит Маркет</t>
  </si>
  <si>
    <r>
      <t xml:space="preserve">ТОВАРИСТВО З ОБМЕЖЕНОЮ ВІДПОВІДАЛЬНІСТЮ "СМАРТ-ФІНАНС"
</t>
    </r>
    <r>
      <rPr>
        <sz val="14"/>
        <rFont val="Segoe UI"/>
        <family val="2"/>
        <charset val="204"/>
      </rPr>
      <t xml:space="preserve">
03056, м.Київ, ВУЛИЦЯ БОРЩАГІВСЬКА, будинок 154
Тел.: +380443540352</t>
    </r>
  </si>
  <si>
    <t>Кредит готівкою "Фокстрот"</t>
  </si>
  <si>
    <t>Біг Кеш Х2 ОТП</t>
  </si>
  <si>
    <r>
      <t xml:space="preserve">АКЦІОНЕРНЕ ТОВАРИСТВО «КОМЕРЦІЙНИЙ БАНК «ГЛОБУС»
</t>
    </r>
    <r>
      <rPr>
        <sz val="14"/>
        <rFont val="Segoe UI"/>
        <family val="2"/>
        <charset val="204"/>
      </rPr>
      <t>04073, м. Київ, пр. Куренівський, 19/5
Тел.: 0 800 300 392
https://globusbank.com.ua/</t>
    </r>
  </si>
  <si>
    <t>Для Вас Х</t>
  </si>
  <si>
    <t>Консолідований Х, 48 міс.</t>
  </si>
  <si>
    <t>Консолідований Х, 60 міс.</t>
  </si>
  <si>
    <t>Консолідований Х, 36 міс.</t>
  </si>
  <si>
    <t>Консолідований Х, 24 міс.</t>
  </si>
  <si>
    <t>Консолідований Х, 18 міс.</t>
  </si>
  <si>
    <t>Консолідований Х, 12 міс.</t>
  </si>
  <si>
    <t>Для ВАС Х, 48 міс.</t>
  </si>
  <si>
    <t>Для ВАС Х, 36 міс.</t>
  </si>
  <si>
    <t>Для ВАС Х, 30 міс.</t>
  </si>
  <si>
    <t>Для ВАС Х, 24 міс.</t>
  </si>
  <si>
    <t>Для ВАС Х, 18 міс.</t>
  </si>
  <si>
    <t>Для ВАС Х, 12 міс.</t>
  </si>
  <si>
    <t>Бюджетний Х, 48 міс.</t>
  </si>
  <si>
    <t>Бюджетний Х, 36 міс.</t>
  </si>
  <si>
    <t>Бюджетний Х, 30 міс.</t>
  </si>
  <si>
    <t>Бюджетний Х, 24 міс.</t>
  </si>
  <si>
    <t>Бюджетний Х, 18 міс.</t>
  </si>
  <si>
    <t>Бюджетний Х, 12 міс.</t>
  </si>
  <si>
    <t>Пенсійний Х, 30 міс.</t>
  </si>
  <si>
    <t>Пенсійний Х, 24 міс.</t>
  </si>
  <si>
    <t>Пенсійний Х, 18 міс.</t>
  </si>
  <si>
    <t>Пенсійний Х, 12 міс.</t>
  </si>
  <si>
    <t>Big Cash Х2 (ОТП), 48 міс.</t>
  </si>
  <si>
    <t>Big Cash Х2 (ОТП), 36 міс.</t>
  </si>
  <si>
    <t>Big Cash Х2 (ОТП), 30 міс.</t>
  </si>
  <si>
    <t>Big Cash Х2 (ОТП), 24 міс.</t>
  </si>
  <si>
    <t>Big Cash Х2 (ОТП), 18 міс.</t>
  </si>
  <si>
    <t>Big Cash Х2 (ОТП), 12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</si>
</sst>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  <numFmt numFmtId="178" formatCode="####&quot; &quot;##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  <font>
      <u/>
      <sz val="10"/>
      <color theme="10"/>
      <name val="Arial Cyr"/>
      <charset val="204"/>
    </font>
    <font>
      <sz val="14"/>
      <name val="Segoe UI"/>
      <family val="2"/>
      <charset val="204"/>
    </font>
    <font>
      <b/>
      <sz val="14"/>
      <name val="Segoe UI"/>
      <family val="2"/>
      <charset val="204"/>
    </font>
    <font>
      <b/>
      <u/>
      <sz val="16"/>
      <color theme="10"/>
      <name val="Segoe U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</cellStyleXfs>
  <cellXfs count="313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9" borderId="1" xfId="0" applyFill="1" applyBorder="1" applyProtection="1">
      <protection hidden="1"/>
    </xf>
    <xf numFmtId="10" fontId="0" fillId="9" borderId="1" xfId="24" applyNumberFormat="1" applyFont="1" applyFill="1" applyBorder="1" applyProtection="1">
      <protection hidden="1"/>
    </xf>
    <xf numFmtId="4" fontId="2" fillId="9" borderId="1" xfId="2" applyNumberFormat="1" applyFont="1" applyFill="1" applyBorder="1" applyAlignment="1" applyProtection="1">
      <alignment horizontal="center"/>
      <protection hidden="1"/>
    </xf>
    <xf numFmtId="174" fontId="2" fillId="9" borderId="1" xfId="49" applyNumberFormat="1" applyFont="1" applyFill="1" applyBorder="1" applyAlignment="1">
      <alignment horizontal="center"/>
    </xf>
    <xf numFmtId="175" fontId="2" fillId="9" borderId="1" xfId="24" applyNumberFormat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0" fontId="0" fillId="11" borderId="1" xfId="0" applyFill="1" applyBorder="1" applyProtection="1">
      <protection hidden="1"/>
    </xf>
    <xf numFmtId="10" fontId="0" fillId="11" borderId="1" xfId="24" applyNumberFormat="1" applyFont="1" applyFill="1" applyBorder="1" applyProtection="1">
      <protection hidden="1"/>
    </xf>
    <xf numFmtId="4" fontId="2" fillId="11" borderId="1" xfId="2" applyNumberFormat="1" applyFont="1" applyFill="1" applyBorder="1" applyAlignment="1" applyProtection="1">
      <alignment horizontal="center"/>
      <protection hidden="1"/>
    </xf>
    <xf numFmtId="174" fontId="2" fillId="11" borderId="1" xfId="49" applyNumberFormat="1" applyFont="1" applyFill="1" applyBorder="1" applyAlignment="1">
      <alignment horizontal="center"/>
    </xf>
    <xf numFmtId="175" fontId="2" fillId="11" borderId="1" xfId="24" applyNumberFormat="1" applyFont="1" applyFill="1" applyBorder="1" applyAlignment="1" applyProtection="1">
      <alignment horizontal="right"/>
      <protection hidden="1"/>
    </xf>
    <xf numFmtId="0" fontId="0" fillId="12" borderId="1" xfId="0" applyFill="1" applyBorder="1" applyProtection="1">
      <protection hidden="1"/>
    </xf>
    <xf numFmtId="10" fontId="0" fillId="12" borderId="1" xfId="24" applyNumberFormat="1" applyFont="1" applyFill="1" applyBorder="1" applyProtection="1">
      <protection hidden="1"/>
    </xf>
    <xf numFmtId="4" fontId="2" fillId="12" borderId="1" xfId="2" applyNumberFormat="1" applyFont="1" applyFill="1" applyBorder="1" applyAlignment="1" applyProtection="1">
      <alignment horizontal="center"/>
      <protection hidden="1"/>
    </xf>
    <xf numFmtId="174" fontId="2" fillId="12" borderId="1" xfId="49" applyNumberFormat="1" applyFont="1" applyFill="1" applyBorder="1" applyAlignment="1">
      <alignment horizontal="center"/>
    </xf>
    <xf numFmtId="175" fontId="2" fillId="12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6" xfId="23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2" fontId="4" fillId="0" borderId="14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78" fontId="4" fillId="0" borderId="1" xfId="23" applyNumberFormat="1" applyBorder="1" applyAlignment="1" applyProtection="1">
      <alignment horizontal="center"/>
    </xf>
    <xf numFmtId="2" fontId="4" fillId="0" borderId="13" xfId="23" applyNumberFormat="1" applyBorder="1" applyAlignment="1" applyProtection="1">
      <alignment horizontal="center"/>
    </xf>
    <xf numFmtId="167" fontId="4" fillId="0" borderId="13" xfId="23" applyNumberFormat="1" applyBorder="1" applyAlignment="1" applyProtection="1">
      <alignment horizontal="center"/>
    </xf>
    <xf numFmtId="178" fontId="4" fillId="0" borderId="13" xfId="23" applyNumberFormat="1" applyBorder="1" applyAlignment="1" applyProtection="1">
      <alignment horizontal="center"/>
    </xf>
    <xf numFmtId="0" fontId="4" fillId="11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40" fillId="13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7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65" fontId="16" fillId="5" borderId="21" xfId="23" applyNumberFormat="1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>
      <protection hidden="1"/>
    </xf>
    <xf numFmtId="10" fontId="0" fillId="8" borderId="1" xfId="24" applyNumberFormat="1" applyFont="1" applyFill="1" applyBorder="1" applyProtection="1">
      <protection hidden="1"/>
    </xf>
    <xf numFmtId="4" fontId="2" fillId="8" borderId="1" xfId="2" applyNumberFormat="1" applyFont="1" applyFill="1" applyBorder="1" applyAlignment="1" applyProtection="1">
      <alignment horizontal="center"/>
      <protection hidden="1"/>
    </xf>
    <xf numFmtId="174" fontId="2" fillId="8" borderId="1" xfId="49" applyNumberFormat="1" applyFont="1" applyFill="1" applyBorder="1" applyAlignment="1">
      <alignment horizontal="center"/>
    </xf>
    <xf numFmtId="175" fontId="2" fillId="8" borderId="1" xfId="24" applyNumberFormat="1" applyFont="1" applyFill="1" applyBorder="1" applyAlignment="1" applyProtection="1">
      <alignment horizontal="right"/>
      <protection hidden="1"/>
    </xf>
    <xf numFmtId="0" fontId="0" fillId="14" borderId="1" xfId="0" applyFill="1" applyBorder="1" applyProtection="1">
      <protection hidden="1"/>
    </xf>
    <xf numFmtId="10" fontId="0" fillId="14" borderId="1" xfId="24" applyNumberFormat="1" applyFont="1" applyFill="1" applyBorder="1" applyProtection="1">
      <protection hidden="1"/>
    </xf>
    <xf numFmtId="4" fontId="2" fillId="14" borderId="1" xfId="2" applyNumberFormat="1" applyFont="1" applyFill="1" applyBorder="1" applyAlignment="1" applyProtection="1">
      <alignment horizontal="center"/>
      <protection hidden="1"/>
    </xf>
    <xf numFmtId="174" fontId="2" fillId="14" borderId="1" xfId="49" applyNumberFormat="1" applyFont="1" applyFill="1" applyBorder="1" applyAlignment="1">
      <alignment horizontal="center"/>
    </xf>
    <xf numFmtId="175" fontId="2" fillId="14" borderId="1" xfId="24" applyNumberFormat="1" applyFont="1" applyFill="1" applyBorder="1" applyAlignment="1" applyProtection="1">
      <alignment horizontal="right"/>
      <protection hidden="1"/>
    </xf>
    <xf numFmtId="0" fontId="0" fillId="15" borderId="1" xfId="0" applyFill="1" applyBorder="1" applyProtection="1">
      <protection hidden="1"/>
    </xf>
    <xf numFmtId="10" fontId="0" fillId="15" borderId="1" xfId="24" applyNumberFormat="1" applyFont="1" applyFill="1" applyBorder="1" applyProtection="1">
      <protection hidden="1"/>
    </xf>
    <xf numFmtId="4" fontId="2" fillId="15" borderId="1" xfId="2" applyNumberFormat="1" applyFont="1" applyFill="1" applyBorder="1" applyAlignment="1" applyProtection="1">
      <alignment horizontal="center"/>
      <protection hidden="1"/>
    </xf>
    <xf numFmtId="174" fontId="2" fillId="15" borderId="1" xfId="49" applyNumberFormat="1" applyFont="1" applyFill="1" applyBorder="1" applyAlignment="1">
      <alignment horizontal="center"/>
    </xf>
    <xf numFmtId="175" fontId="2" fillId="15" borderId="1" xfId="24" applyNumberFormat="1" applyFont="1" applyFill="1" applyBorder="1" applyAlignment="1" applyProtection="1">
      <alignment horizontal="right"/>
      <protection hidden="1"/>
    </xf>
    <xf numFmtId="0" fontId="0" fillId="16" borderId="1" xfId="0" applyFill="1" applyBorder="1" applyProtection="1">
      <protection hidden="1"/>
    </xf>
    <xf numFmtId="10" fontId="0" fillId="16" borderId="1" xfId="24" applyNumberFormat="1" applyFont="1" applyFill="1" applyBorder="1" applyProtection="1">
      <protection hidden="1"/>
    </xf>
    <xf numFmtId="4" fontId="2" fillId="16" borderId="1" xfId="2" applyNumberFormat="1" applyFont="1" applyFill="1" applyBorder="1" applyAlignment="1" applyProtection="1">
      <alignment horizontal="center"/>
      <protection hidden="1"/>
    </xf>
    <xf numFmtId="174" fontId="2" fillId="16" borderId="1" xfId="49" applyNumberFormat="1" applyFont="1" applyFill="1" applyBorder="1" applyAlignment="1">
      <alignment horizontal="center"/>
    </xf>
    <xf numFmtId="175" fontId="2" fillId="16" borderId="1" xfId="24" applyNumberFormat="1" applyFont="1" applyFill="1" applyBorder="1" applyAlignment="1" applyProtection="1">
      <alignment horizontal="right"/>
      <protection hidden="1"/>
    </xf>
    <xf numFmtId="0" fontId="0" fillId="5" borderId="1" xfId="0" applyFill="1" applyBorder="1" applyProtection="1">
      <protection hidden="1"/>
    </xf>
    <xf numFmtId="10" fontId="0" fillId="5" borderId="1" xfId="24" applyNumberFormat="1" applyFont="1" applyFill="1" applyBorder="1" applyProtection="1">
      <protection hidden="1"/>
    </xf>
    <xf numFmtId="4" fontId="2" fillId="5" borderId="1" xfId="2" applyNumberFormat="1" applyFont="1" applyFill="1" applyBorder="1" applyAlignment="1" applyProtection="1">
      <alignment horizontal="center"/>
      <protection hidden="1"/>
    </xf>
    <xf numFmtId="174" fontId="2" fillId="5" borderId="1" xfId="49" applyNumberFormat="1" applyFont="1" applyFill="1" applyBorder="1" applyAlignment="1">
      <alignment horizontal="center"/>
    </xf>
    <xf numFmtId="175" fontId="2" fillId="5" borderId="1" xfId="24" applyNumberFormat="1" applyFont="1" applyFill="1" applyBorder="1" applyAlignment="1" applyProtection="1">
      <alignment horizontal="right"/>
      <protection hidden="1"/>
    </xf>
    <xf numFmtId="0" fontId="44" fillId="0" borderId="0" xfId="0" applyFont="1" applyAlignment="1"/>
    <xf numFmtId="0" fontId="44" fillId="0" borderId="0" xfId="0" applyFont="1"/>
    <xf numFmtId="0" fontId="45" fillId="0" borderId="0" xfId="0" applyFont="1" applyFill="1"/>
    <xf numFmtId="0" fontId="44" fillId="0" borderId="0" xfId="0" applyFont="1" applyFill="1"/>
    <xf numFmtId="0" fontId="44" fillId="0" borderId="31" xfId="0" applyFont="1" applyBorder="1"/>
    <xf numFmtId="0" fontId="44" fillId="0" borderId="33" xfId="0" applyFont="1" applyBorder="1"/>
    <xf numFmtId="0" fontId="44" fillId="0" borderId="30" xfId="0" applyFont="1" applyBorder="1"/>
    <xf numFmtId="0" fontId="45" fillId="0" borderId="0" xfId="0" applyFont="1" applyAlignment="1">
      <alignment horizontal="left"/>
    </xf>
    <xf numFmtId="0" fontId="45" fillId="17" borderId="47" xfId="0" applyFont="1" applyFill="1" applyBorder="1" applyAlignment="1">
      <alignment horizontal="center" vertical="center"/>
    </xf>
    <xf numFmtId="0" fontId="45" fillId="17" borderId="48" xfId="0" applyFont="1" applyFill="1" applyBorder="1" applyAlignment="1">
      <alignment horizontal="center" vertical="center"/>
    </xf>
    <xf numFmtId="0" fontId="46" fillId="0" borderId="37" xfId="52" applyFont="1" applyFill="1" applyBorder="1" applyAlignment="1" applyProtection="1">
      <alignment horizontal="center" vertical="center"/>
      <protection locked="0"/>
    </xf>
    <xf numFmtId="0" fontId="46" fillId="0" borderId="38" xfId="52" applyFont="1" applyFill="1" applyBorder="1" applyAlignment="1" applyProtection="1">
      <alignment horizontal="center" vertical="center"/>
      <protection locked="0"/>
    </xf>
    <xf numFmtId="0" fontId="46" fillId="0" borderId="40" xfId="52" applyFont="1" applyFill="1" applyBorder="1" applyAlignment="1" applyProtection="1">
      <alignment horizontal="center" vertical="center"/>
      <protection locked="0"/>
    </xf>
    <xf numFmtId="0" fontId="46" fillId="0" borderId="42" xfId="52" applyFont="1" applyFill="1" applyBorder="1" applyAlignment="1" applyProtection="1">
      <alignment horizontal="center" vertical="center"/>
      <protection locked="0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center" vertical="center"/>
    </xf>
    <xf numFmtId="0" fontId="45" fillId="17" borderId="46" xfId="0" applyFont="1" applyFill="1" applyBorder="1" applyAlignment="1">
      <alignment horizontal="center" vertical="center"/>
    </xf>
    <xf numFmtId="0" fontId="45" fillId="17" borderId="47" xfId="0" applyFont="1" applyFill="1" applyBorder="1" applyAlignment="1">
      <alignment horizontal="center" vertical="center"/>
    </xf>
    <xf numFmtId="0" fontId="46" fillId="0" borderId="32" xfId="52" applyFont="1" applyFill="1" applyBorder="1" applyAlignment="1" applyProtection="1">
      <alignment horizontal="center" vertical="center"/>
      <protection locked="0"/>
    </xf>
    <xf numFmtId="0" fontId="46" fillId="0" borderId="35" xfId="52" applyFont="1" applyFill="1" applyBorder="1" applyAlignment="1" applyProtection="1">
      <alignment horizontal="center" vertical="center"/>
      <protection locked="0"/>
    </xf>
    <xf numFmtId="0" fontId="45" fillId="0" borderId="36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left" vertical="center"/>
    </xf>
    <xf numFmtId="0" fontId="44" fillId="0" borderId="41" xfId="0" applyFont="1" applyFill="1" applyBorder="1" applyAlignment="1">
      <alignment horizontal="left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6" fillId="0" borderId="39" xfId="52" applyFont="1" applyFill="1" applyBorder="1" applyAlignment="1" applyProtection="1">
      <alignment horizontal="center" vertical="center"/>
      <protection locked="0"/>
    </xf>
    <xf numFmtId="0" fontId="44" fillId="0" borderId="3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6" fillId="0" borderId="37" xfId="52" applyFont="1" applyBorder="1" applyAlignment="1" applyProtection="1">
      <alignment horizontal="center" vertical="center"/>
      <protection locked="0"/>
    </xf>
    <xf numFmtId="0" fontId="46" fillId="0" borderId="38" xfId="52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29" xfId="0" applyFont="1" applyBorder="1" applyAlignment="1">
      <alignment horizontal="left" wrapText="1"/>
    </xf>
    <xf numFmtId="0" fontId="44" fillId="0" borderId="1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5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 wrapText="1"/>
    </xf>
    <xf numFmtId="0" fontId="46" fillId="0" borderId="39" xfId="52" applyFont="1" applyBorder="1" applyAlignment="1" applyProtection="1">
      <alignment horizontal="center" vertical="center"/>
      <protection locked="0"/>
    </xf>
    <xf numFmtId="0" fontId="46" fillId="0" borderId="32" xfId="52" applyFont="1" applyBorder="1" applyAlignment="1" applyProtection="1">
      <alignment horizontal="center" vertical="center"/>
      <protection locked="0"/>
    </xf>
    <xf numFmtId="0" fontId="46" fillId="0" borderId="40" xfId="52" applyFont="1" applyBorder="1" applyAlignment="1" applyProtection="1">
      <alignment horizontal="center" vertical="center"/>
      <protection locked="0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0" fontId="7" fillId="6" borderId="12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4" fontId="16" fillId="0" borderId="1" xfId="23" applyNumberFormat="1" applyFont="1" applyBorder="1" applyAlignment="1" applyProtection="1">
      <alignment horizontal="center"/>
    </xf>
    <xf numFmtId="4" fontId="16" fillId="0" borderId="13" xfId="23" applyNumberFormat="1" applyFont="1" applyBorder="1" applyAlignment="1" applyProtection="1">
      <alignment horizontal="center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7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0" fontId="3" fillId="11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2" fillId="11" borderId="21" xfId="0" applyFont="1" applyFill="1" applyBorder="1" applyAlignment="1" applyProtection="1">
      <alignment horizontal="left" vertical="center"/>
    </xf>
    <xf numFmtId="0" fontId="38" fillId="11" borderId="22" xfId="0" applyFont="1" applyFill="1" applyBorder="1" applyAlignment="1" applyProtection="1">
      <alignment horizontal="left" vertical="center"/>
    </xf>
    <xf numFmtId="0" fontId="38" fillId="11" borderId="25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</cellXfs>
  <cellStyles count="53">
    <cellStyle name="Гиперссылка" xfId="52" builtinId="8"/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6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38100</xdr:rowOff>
    </xdr:to>
    <xdr:sp macro="" textlink="">
      <xdr:nvSpPr>
        <xdr:cNvPr id="13314" name="AutoShape 2" descr="Головна сторінка"/>
        <xdr:cNvSpPr>
          <a:spLocks noChangeAspect="1" noChangeArrowheads="1"/>
        </xdr:cNvSpPr>
      </xdr:nvSpPr>
      <xdr:spPr bwMode="auto">
        <a:xfrm>
          <a:off x="609600" y="10058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7621</xdr:colOff>
      <xdr:row>6</xdr:row>
      <xdr:rowOff>144393</xdr:rowOff>
    </xdr:from>
    <xdr:to>
      <xdr:col>1</xdr:col>
      <xdr:colOff>2552700</xdr:colOff>
      <xdr:row>11</xdr:row>
      <xdr:rowOff>186008</xdr:rowOff>
    </xdr:to>
    <xdr:pic>
      <xdr:nvPicPr>
        <xdr:cNvPr id="9" name="Рисунок 8" descr="Банк ПУМБ - Перший Український Міжнародний Бан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1" y="4510653"/>
          <a:ext cx="2545079" cy="1337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</xdr:colOff>
      <xdr:row>13</xdr:row>
      <xdr:rowOff>223520</xdr:rowOff>
    </xdr:from>
    <xdr:to>
      <xdr:col>1</xdr:col>
      <xdr:colOff>2537460</xdr:colOff>
      <xdr:row>20</xdr:row>
      <xdr:rowOff>91440</xdr:rowOff>
    </xdr:to>
    <xdr:pic>
      <xdr:nvPicPr>
        <xdr:cNvPr id="10" name="Рисунок 9" descr="Презентации украинского банка ОТП Бан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900420"/>
          <a:ext cx="2522220" cy="168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137160</xdr:colOff>
      <xdr:row>24</xdr:row>
      <xdr:rowOff>79870</xdr:rowOff>
    </xdr:from>
    <xdr:to>
      <xdr:col>1</xdr:col>
      <xdr:colOff>2423160</xdr:colOff>
      <xdr:row>30</xdr:row>
      <xdr:rowOff>182879</xdr:rowOff>
    </xdr:to>
    <xdr:pic>
      <xdr:nvPicPr>
        <xdr:cNvPr id="11" name="Рисунок 10" descr="Кредит Маркет - деньги в кредит наличными и онлайн, отзывы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8606650"/>
          <a:ext cx="2286000" cy="1657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31</xdr:row>
      <xdr:rowOff>182880</xdr:rowOff>
    </xdr:from>
    <xdr:to>
      <xdr:col>1</xdr:col>
      <xdr:colOff>2255520</xdr:colOff>
      <xdr:row>39</xdr:row>
      <xdr:rowOff>99060</xdr:rowOff>
    </xdr:to>
    <xdr:pic>
      <xdr:nvPicPr>
        <xdr:cNvPr id="12" name="Рисунок 11" descr="Кредит від СМАРТ ФІНАНС | OK.RU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020300"/>
          <a:ext cx="1988820" cy="198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320040</xdr:colOff>
      <xdr:row>41</xdr:row>
      <xdr:rowOff>68580</xdr:rowOff>
    </xdr:from>
    <xdr:to>
      <xdr:col>1</xdr:col>
      <xdr:colOff>2225040</xdr:colOff>
      <xdr:row>46</xdr:row>
      <xdr:rowOff>205740</xdr:rowOff>
    </xdr:to>
    <xdr:pic>
      <xdr:nvPicPr>
        <xdr:cNvPr id="13" name="Рисунок 12" descr="Глобус в 2020 : официальный сайт, адрес, телефоны, горячая линия, новости и  акции Глобус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13022580"/>
          <a:ext cx="1905000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281940</xdr:colOff>
      <xdr:row>4</xdr:row>
      <xdr:rowOff>60960</xdr:rowOff>
    </xdr:from>
    <xdr:to>
      <xdr:col>15</xdr:col>
      <xdr:colOff>426720</xdr:colOff>
      <xdr:row>8</xdr:row>
      <xdr:rowOff>106680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8983980" y="75438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251460</xdr:colOff>
      <xdr:row>4</xdr:row>
      <xdr:rowOff>76200</xdr:rowOff>
    </xdr:from>
    <xdr:to>
      <xdr:col>15</xdr:col>
      <xdr:colOff>396240</xdr:colOff>
      <xdr:row>8</xdr:row>
      <xdr:rowOff>121920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8953500" y="76962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281940</xdr:colOff>
      <xdr:row>4</xdr:row>
      <xdr:rowOff>76200</xdr:rowOff>
    </xdr:from>
    <xdr:to>
      <xdr:col>15</xdr:col>
      <xdr:colOff>426720</xdr:colOff>
      <xdr:row>8</xdr:row>
      <xdr:rowOff>121920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8983980" y="76962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304800</xdr:colOff>
      <xdr:row>4</xdr:row>
      <xdr:rowOff>68580</xdr:rowOff>
    </xdr:from>
    <xdr:to>
      <xdr:col>15</xdr:col>
      <xdr:colOff>449580</xdr:colOff>
      <xdr:row>8</xdr:row>
      <xdr:rowOff>114300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9006840" y="76200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304800</xdr:colOff>
      <xdr:row>4</xdr:row>
      <xdr:rowOff>121920</xdr:rowOff>
    </xdr:from>
    <xdr:to>
      <xdr:col>15</xdr:col>
      <xdr:colOff>449580</xdr:colOff>
      <xdr:row>9</xdr:row>
      <xdr:rowOff>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9006840" y="81534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220980</xdr:colOff>
      <xdr:row>4</xdr:row>
      <xdr:rowOff>68580</xdr:rowOff>
    </xdr:from>
    <xdr:to>
      <xdr:col>15</xdr:col>
      <xdr:colOff>365760</xdr:colOff>
      <xdr:row>8</xdr:row>
      <xdr:rowOff>114300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8923020" y="76200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304800</xdr:colOff>
      <xdr:row>4</xdr:row>
      <xdr:rowOff>60960</xdr:rowOff>
    </xdr:from>
    <xdr:to>
      <xdr:col>15</xdr:col>
      <xdr:colOff>449580</xdr:colOff>
      <xdr:row>8</xdr:row>
      <xdr:rowOff>106680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9006840" y="75438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312420</xdr:colOff>
      <xdr:row>4</xdr:row>
      <xdr:rowOff>99060</xdr:rowOff>
    </xdr:from>
    <xdr:to>
      <xdr:col>15</xdr:col>
      <xdr:colOff>457200</xdr:colOff>
      <xdr:row>8</xdr:row>
      <xdr:rowOff>144780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9014460" y="79248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274320</xdr:colOff>
      <xdr:row>4</xdr:row>
      <xdr:rowOff>60960</xdr:rowOff>
    </xdr:from>
    <xdr:to>
      <xdr:col>15</xdr:col>
      <xdr:colOff>419100</xdr:colOff>
      <xdr:row>8</xdr:row>
      <xdr:rowOff>106680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8976360" y="75438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274320</xdr:colOff>
      <xdr:row>4</xdr:row>
      <xdr:rowOff>60960</xdr:rowOff>
    </xdr:from>
    <xdr:to>
      <xdr:col>15</xdr:col>
      <xdr:colOff>419100</xdr:colOff>
      <xdr:row>8</xdr:row>
      <xdr:rowOff>106680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>
        <a:xfrm>
          <a:off x="8976360" y="754380"/>
          <a:ext cx="2019300" cy="67056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Повернутись на "Головну"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8"/>
  <sheetViews>
    <sheetView tabSelected="1" workbookViewId="0">
      <selection activeCell="E13" sqref="E13:E14"/>
    </sheetView>
  </sheetViews>
  <sheetFormatPr defaultRowHeight="20.399999999999999" x14ac:dyDescent="0.45"/>
  <cols>
    <col min="1" max="1" width="8.88671875" style="205"/>
    <col min="2" max="2" width="37.33203125" style="205" customWidth="1"/>
    <col min="3" max="3" width="64.6640625" style="205" customWidth="1"/>
    <col min="4" max="4" width="38.77734375" style="205" bestFit="1" customWidth="1"/>
    <col min="5" max="5" width="42.33203125" style="205" bestFit="1" customWidth="1"/>
    <col min="6" max="7" width="8.88671875" style="205"/>
    <col min="8" max="8" width="26.5546875" style="205" bestFit="1" customWidth="1"/>
    <col min="9" max="10" width="8.88671875" style="205"/>
    <col min="11" max="11" width="32.5546875" style="205" customWidth="1"/>
    <col min="12" max="16384" width="8.88671875" style="205"/>
  </cols>
  <sheetData>
    <row r="3" spans="2:11" x14ac:dyDescent="0.45">
      <c r="B3" s="211" t="s">
        <v>80</v>
      </c>
      <c r="C3" s="204"/>
      <c r="D3" s="204"/>
      <c r="E3" s="204"/>
      <c r="F3" s="204"/>
      <c r="G3" s="204"/>
      <c r="H3" s="204"/>
      <c r="I3" s="204"/>
      <c r="J3" s="204"/>
      <c r="K3" s="204"/>
    </row>
    <row r="5" spans="2:11" ht="21" thickBot="1" x14ac:dyDescent="0.5">
      <c r="B5" s="206"/>
      <c r="C5" s="206"/>
      <c r="D5" s="206"/>
      <c r="E5" s="206"/>
      <c r="F5" s="206"/>
      <c r="G5" s="206"/>
      <c r="H5" s="206"/>
    </row>
    <row r="6" spans="2:11" ht="37.200000000000003" customHeight="1" thickBot="1" x14ac:dyDescent="0.5">
      <c r="B6" s="227" t="s">
        <v>83</v>
      </c>
      <c r="C6" s="228"/>
      <c r="D6" s="212" t="s">
        <v>84</v>
      </c>
      <c r="E6" s="213" t="s">
        <v>81</v>
      </c>
      <c r="F6" s="207"/>
      <c r="G6" s="207"/>
      <c r="H6" s="207"/>
    </row>
    <row r="7" spans="2:11" ht="20.399999999999999" customHeight="1" x14ac:dyDescent="0.45">
      <c r="B7" s="210"/>
      <c r="C7" s="231" t="s">
        <v>93</v>
      </c>
      <c r="D7" s="234" t="s">
        <v>86</v>
      </c>
      <c r="E7" s="214" t="s">
        <v>82</v>
      </c>
    </row>
    <row r="8" spans="2:11" ht="20.399999999999999" customHeight="1" x14ac:dyDescent="0.45">
      <c r="B8" s="208"/>
      <c r="C8" s="232"/>
      <c r="D8" s="235"/>
      <c r="E8" s="215"/>
    </row>
    <row r="9" spans="2:11" ht="20.399999999999999" customHeight="1" x14ac:dyDescent="0.45">
      <c r="B9" s="208"/>
      <c r="C9" s="232"/>
      <c r="D9" s="236"/>
      <c r="E9" s="239"/>
    </row>
    <row r="10" spans="2:11" ht="20.399999999999999" customHeight="1" x14ac:dyDescent="0.45">
      <c r="B10" s="208"/>
      <c r="C10" s="232"/>
      <c r="D10" s="237" t="s">
        <v>85</v>
      </c>
      <c r="E10" s="216" t="s">
        <v>82</v>
      </c>
    </row>
    <row r="11" spans="2:11" ht="20.399999999999999" customHeight="1" x14ac:dyDescent="0.45">
      <c r="B11" s="208"/>
      <c r="C11" s="232"/>
      <c r="D11" s="235"/>
      <c r="E11" s="215"/>
    </row>
    <row r="12" spans="2:11" ht="21" customHeight="1" thickBot="1" x14ac:dyDescent="0.5">
      <c r="B12" s="209"/>
      <c r="C12" s="233"/>
      <c r="D12" s="238"/>
      <c r="E12" s="217"/>
    </row>
    <row r="13" spans="2:11" ht="20.399999999999999" customHeight="1" x14ac:dyDescent="0.45">
      <c r="B13" s="250"/>
      <c r="C13" s="247" t="s">
        <v>92</v>
      </c>
      <c r="D13" s="240" t="s">
        <v>87</v>
      </c>
      <c r="E13" s="214" t="s">
        <v>82</v>
      </c>
    </row>
    <row r="14" spans="2:11" x14ac:dyDescent="0.45">
      <c r="B14" s="251"/>
      <c r="C14" s="248"/>
      <c r="D14" s="241"/>
      <c r="E14" s="215"/>
    </row>
    <row r="15" spans="2:11" x14ac:dyDescent="0.45">
      <c r="B15" s="251"/>
      <c r="C15" s="248"/>
      <c r="D15" s="242" t="s">
        <v>99</v>
      </c>
      <c r="E15" s="216" t="s">
        <v>82</v>
      </c>
    </row>
    <row r="16" spans="2:11" x14ac:dyDescent="0.45">
      <c r="B16" s="251"/>
      <c r="C16" s="248"/>
      <c r="D16" s="241"/>
      <c r="E16" s="215"/>
    </row>
    <row r="17" spans="2:5" x14ac:dyDescent="0.45">
      <c r="B17" s="251"/>
      <c r="C17" s="248"/>
      <c r="D17" s="242" t="s">
        <v>88</v>
      </c>
      <c r="E17" s="216" t="s">
        <v>82</v>
      </c>
    </row>
    <row r="18" spans="2:5" x14ac:dyDescent="0.45">
      <c r="B18" s="251"/>
      <c r="C18" s="248"/>
      <c r="D18" s="241"/>
      <c r="E18" s="215"/>
    </row>
    <row r="19" spans="2:5" x14ac:dyDescent="0.45">
      <c r="B19" s="251"/>
      <c r="C19" s="248"/>
      <c r="D19" s="222" t="s">
        <v>89</v>
      </c>
      <c r="E19" s="216" t="s">
        <v>82</v>
      </c>
    </row>
    <row r="20" spans="2:5" x14ac:dyDescent="0.45">
      <c r="B20" s="251"/>
      <c r="C20" s="248"/>
      <c r="D20" s="222"/>
      <c r="E20" s="215"/>
    </row>
    <row r="21" spans="2:5" ht="20.399999999999999" customHeight="1" x14ac:dyDescent="0.45">
      <c r="B21" s="251"/>
      <c r="C21" s="248"/>
      <c r="D21" s="222" t="s">
        <v>90</v>
      </c>
      <c r="E21" s="229" t="s">
        <v>82</v>
      </c>
    </row>
    <row r="22" spans="2:5" ht="20.399999999999999" customHeight="1" x14ac:dyDescent="0.45">
      <c r="B22" s="251"/>
      <c r="C22" s="248"/>
      <c r="D22" s="222"/>
      <c r="E22" s="229"/>
    </row>
    <row r="23" spans="2:5" ht="20.399999999999999" customHeight="1" x14ac:dyDescent="0.45">
      <c r="B23" s="251"/>
      <c r="C23" s="248"/>
      <c r="D23" s="222" t="s">
        <v>97</v>
      </c>
      <c r="E23" s="229" t="s">
        <v>82</v>
      </c>
    </row>
    <row r="24" spans="2:5" ht="21" customHeight="1" thickBot="1" x14ac:dyDescent="0.5">
      <c r="B24" s="252"/>
      <c r="C24" s="249"/>
      <c r="D24" s="226"/>
      <c r="E24" s="230"/>
    </row>
    <row r="25" spans="2:5" x14ac:dyDescent="0.45">
      <c r="B25" s="256"/>
      <c r="C25" s="253" t="s">
        <v>91</v>
      </c>
      <c r="D25" s="257" t="s">
        <v>94</v>
      </c>
      <c r="E25" s="258" t="s">
        <v>82</v>
      </c>
    </row>
    <row r="26" spans="2:5" x14ac:dyDescent="0.45">
      <c r="B26" s="219"/>
      <c r="C26" s="254"/>
      <c r="D26" s="222"/>
      <c r="E26" s="259"/>
    </row>
    <row r="27" spans="2:5" x14ac:dyDescent="0.45">
      <c r="B27" s="219"/>
      <c r="C27" s="254"/>
      <c r="D27" s="222"/>
      <c r="E27" s="259"/>
    </row>
    <row r="28" spans="2:5" x14ac:dyDescent="0.45">
      <c r="B28" s="219"/>
      <c r="C28" s="254"/>
      <c r="D28" s="222"/>
      <c r="E28" s="259"/>
    </row>
    <row r="29" spans="2:5" x14ac:dyDescent="0.45">
      <c r="B29" s="219"/>
      <c r="C29" s="254"/>
      <c r="D29" s="222"/>
      <c r="E29" s="259"/>
    </row>
    <row r="30" spans="2:5" x14ac:dyDescent="0.45">
      <c r="B30" s="219"/>
      <c r="C30" s="254"/>
      <c r="D30" s="222"/>
      <c r="E30" s="259"/>
    </row>
    <row r="31" spans="2:5" ht="21" thickBot="1" x14ac:dyDescent="0.5">
      <c r="B31" s="243"/>
      <c r="C31" s="255"/>
      <c r="D31" s="242"/>
      <c r="E31" s="260"/>
    </row>
    <row r="32" spans="2:5" ht="20.399999999999999" customHeight="1" x14ac:dyDescent="0.45">
      <c r="B32" s="218"/>
      <c r="C32" s="223" t="s">
        <v>95</v>
      </c>
      <c r="D32" s="221" t="s">
        <v>96</v>
      </c>
      <c r="E32" s="245" t="s">
        <v>82</v>
      </c>
    </row>
    <row r="33" spans="2:5" x14ac:dyDescent="0.45">
      <c r="B33" s="219"/>
      <c r="C33" s="224"/>
      <c r="D33" s="222"/>
      <c r="E33" s="246"/>
    </row>
    <row r="34" spans="2:5" x14ac:dyDescent="0.45">
      <c r="B34" s="219"/>
      <c r="C34" s="224"/>
      <c r="D34" s="222"/>
      <c r="E34" s="246"/>
    </row>
    <row r="35" spans="2:5" x14ac:dyDescent="0.45">
      <c r="B35" s="219"/>
      <c r="C35" s="224"/>
      <c r="D35" s="222"/>
      <c r="E35" s="246"/>
    </row>
    <row r="36" spans="2:5" x14ac:dyDescent="0.45">
      <c r="B36" s="219"/>
      <c r="C36" s="224"/>
      <c r="D36" s="222"/>
      <c r="E36" s="246"/>
    </row>
    <row r="37" spans="2:5" x14ac:dyDescent="0.45">
      <c r="B37" s="219"/>
      <c r="C37" s="224"/>
      <c r="D37" s="222"/>
      <c r="E37" s="246"/>
    </row>
    <row r="38" spans="2:5" x14ac:dyDescent="0.45">
      <c r="B38" s="219"/>
      <c r="C38" s="224"/>
      <c r="D38" s="222"/>
      <c r="E38" s="246"/>
    </row>
    <row r="39" spans="2:5" x14ac:dyDescent="0.45">
      <c r="B39" s="219"/>
      <c r="C39" s="224"/>
      <c r="D39" s="222"/>
      <c r="E39" s="246"/>
    </row>
    <row r="40" spans="2:5" ht="21" thickBot="1" x14ac:dyDescent="0.5">
      <c r="B40" s="243"/>
      <c r="C40" s="244"/>
      <c r="D40" s="242"/>
      <c r="E40" s="246"/>
    </row>
    <row r="41" spans="2:5" ht="20.399999999999999" customHeight="1" x14ac:dyDescent="0.45">
      <c r="B41" s="218"/>
      <c r="C41" s="223" t="s">
        <v>98</v>
      </c>
      <c r="D41" s="221" t="s">
        <v>87</v>
      </c>
      <c r="E41" s="214" t="s">
        <v>82</v>
      </c>
    </row>
    <row r="42" spans="2:5" ht="20.399999999999999" customHeight="1" x14ac:dyDescent="0.45">
      <c r="B42" s="219"/>
      <c r="C42" s="224"/>
      <c r="D42" s="222"/>
      <c r="E42" s="215"/>
    </row>
    <row r="43" spans="2:5" ht="20.399999999999999" customHeight="1" x14ac:dyDescent="0.45">
      <c r="B43" s="219"/>
      <c r="C43" s="224"/>
      <c r="D43" s="222" t="s">
        <v>99</v>
      </c>
      <c r="E43" s="216" t="s">
        <v>82</v>
      </c>
    </row>
    <row r="44" spans="2:5" ht="20.399999999999999" customHeight="1" x14ac:dyDescent="0.45">
      <c r="B44" s="219"/>
      <c r="C44" s="224"/>
      <c r="D44" s="222"/>
      <c r="E44" s="215"/>
    </row>
    <row r="45" spans="2:5" ht="20.399999999999999" customHeight="1" x14ac:dyDescent="0.45">
      <c r="B45" s="219"/>
      <c r="C45" s="224"/>
      <c r="D45" s="222" t="s">
        <v>88</v>
      </c>
      <c r="E45" s="216" t="s">
        <v>82</v>
      </c>
    </row>
    <row r="46" spans="2:5" ht="20.399999999999999" customHeight="1" x14ac:dyDescent="0.45">
      <c r="B46" s="219"/>
      <c r="C46" s="224"/>
      <c r="D46" s="222"/>
      <c r="E46" s="215"/>
    </row>
    <row r="47" spans="2:5" ht="20.399999999999999" customHeight="1" x14ac:dyDescent="0.45">
      <c r="B47" s="219"/>
      <c r="C47" s="224"/>
      <c r="D47" s="222" t="s">
        <v>89</v>
      </c>
      <c r="E47" s="216" t="s">
        <v>82</v>
      </c>
    </row>
    <row r="48" spans="2:5" ht="21" customHeight="1" thickBot="1" x14ac:dyDescent="0.5">
      <c r="B48" s="220"/>
      <c r="C48" s="225"/>
      <c r="D48" s="226"/>
      <c r="E48" s="217"/>
    </row>
  </sheetData>
  <sheetProtection password="B631" sheet="1" objects="1" scenarios="1" selectLockedCells="1"/>
  <mergeCells count="38">
    <mergeCell ref="E21:E22"/>
    <mergeCell ref="E23:E24"/>
    <mergeCell ref="B32:B40"/>
    <mergeCell ref="C32:C40"/>
    <mergeCell ref="D32:D40"/>
    <mergeCell ref="E32:E40"/>
    <mergeCell ref="C13:C24"/>
    <mergeCell ref="B13:B24"/>
    <mergeCell ref="C25:C31"/>
    <mergeCell ref="B25:B31"/>
    <mergeCell ref="D25:D31"/>
    <mergeCell ref="E25:E31"/>
    <mergeCell ref="D21:D22"/>
    <mergeCell ref="D23:D24"/>
    <mergeCell ref="E17:E18"/>
    <mergeCell ref="D19:D20"/>
    <mergeCell ref="E19:E20"/>
    <mergeCell ref="D7:D9"/>
    <mergeCell ref="D10:D12"/>
    <mergeCell ref="E7:E9"/>
    <mergeCell ref="E10:E12"/>
    <mergeCell ref="D13:D14"/>
    <mergeCell ref="E13:E14"/>
    <mergeCell ref="D15:D16"/>
    <mergeCell ref="E15:E16"/>
    <mergeCell ref="D17:D18"/>
    <mergeCell ref="B6:C6"/>
    <mergeCell ref="C7:C12"/>
    <mergeCell ref="E41:E42"/>
    <mergeCell ref="E43:E44"/>
    <mergeCell ref="E45:E46"/>
    <mergeCell ref="E47:E48"/>
    <mergeCell ref="B41:B48"/>
    <mergeCell ref="D41:D42"/>
    <mergeCell ref="D43:D44"/>
    <mergeCell ref="C41:C48"/>
    <mergeCell ref="D45:D46"/>
    <mergeCell ref="D47:D48"/>
  </mergeCells>
  <hyperlinks>
    <hyperlink ref="E7:E9" location="'Кредит готівкою ПУМБ'!A1" display="Калькулятор"/>
    <hyperlink ref="E13:E14" location="'Консолідований Х'!A1" display="Калькулятор"/>
    <hyperlink ref="E15:E16" location="'Для Вас Х'!A1" display="Калькулятор"/>
    <hyperlink ref="E17:E18" location="'Бюджетний Х'!A1" display="Калькулятор"/>
    <hyperlink ref="E10:E12" location="'&quot;Біг Кеш&quot; ПУМБ'!A1" display="Калькулятор"/>
    <hyperlink ref="E19:E20" location="'Пенсійний Х'!A1" display="Калькулятор"/>
    <hyperlink ref="E25:E31" location="'Кредит Маркет'!A1" display="Калькулятор"/>
    <hyperlink ref="E32:E40" location="'Смарт Фінанс'!A1" display="Калькулятор"/>
    <hyperlink ref="E21:E22" location="'Біг Кеш (ОТП) '!A1" display="Калькулятор"/>
    <hyperlink ref="E23:E24" location="'Біг Кеш Х2 (ОТП)'!A1" display="Калькулятор"/>
    <hyperlink ref="E41:E42" location="'Консолідований Х'!A1" display="Калькулятор"/>
    <hyperlink ref="E43:E44" location="'Для Вас Х'!A1" display="Калькулятор"/>
    <hyperlink ref="E45:E46" location="'Бюджетний Х'!A1" display="Калькулятор"/>
    <hyperlink ref="E47:E48" location="'Пенсійний Х'!A1" display="Калькулятор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VLOOKUP('Кредит Маркет'!H2,Лист2!A:N,14,FALSE)</f>
        <v>1000</v>
      </c>
      <c r="F2" s="118">
        <f>VLOOKUP(H$2,Лист2!$A:$G,2,0)</f>
        <v>30000</v>
      </c>
      <c r="G2" s="135">
        <f ca="1">TODAY()</f>
        <v>44089</v>
      </c>
      <c r="H2" s="286" t="s">
        <v>76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10000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30000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10000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12400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1E-4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0.24</v>
      </c>
      <c r="G11" s="273"/>
      <c r="H11" s="273"/>
      <c r="I11" s="3"/>
      <c r="J11" s="53"/>
      <c r="K11" s="132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3.6900000000000002E-2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36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2400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12400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802.05754887762555</v>
      </c>
      <c r="G18" s="277"/>
      <c r="H18" s="278"/>
      <c r="I18" s="123"/>
      <c r="J18" s="54"/>
      <c r="K18" s="132" t="str">
        <f>Лист2!A10</f>
        <v>Термін, 36 міс. (ПУМБ)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str">
        <f>Лист2!A11</f>
        <v>Термін, 30 міс. (ПУМБ)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18874.050000000017</v>
      </c>
      <c r="G20" s="279"/>
      <c r="H20" s="279"/>
      <c r="I20" s="1"/>
      <c r="J20" s="55"/>
      <c r="K20" s="132" t="str">
        <f>Лист2!A12</f>
        <v>Термін, 24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Лист2!A13</f>
        <v>Термін, 18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28874.050000000017</v>
      </c>
      <c r="G22" s="273"/>
      <c r="H22" s="273"/>
      <c r="I22" s="1"/>
      <c r="J22" s="55"/>
      <c r="K22" s="132" t="str">
        <f>Лист2!A14</f>
        <v>Термін, 12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Лист2!A15</f>
        <v>Термін, 36 міс. (ПУМБ БК)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1.3598466277122496</v>
      </c>
      <c r="G24" s="159"/>
      <c r="H24" s="22"/>
      <c r="I24" s="1"/>
      <c r="J24" s="1"/>
      <c r="K24" s="132" t="str">
        <f>Лист2!A16</f>
        <v>Термін, 30 міс. (ПУМБ БК)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K25" s="132" t="str">
        <f>Лист2!A17</f>
        <v>Термін, 24 міс. (ПУМБ БК)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str">
        <f>Лист2!A18</f>
        <v>Термін, 18 міс. (ПУМБ БК)</v>
      </c>
    </row>
    <row r="27" spans="1:29" ht="31.2" customHeight="1" thickBot="1" x14ac:dyDescent="0.3">
      <c r="A27" s="1"/>
      <c r="B27" s="178" t="s">
        <v>39</v>
      </c>
      <c r="C27" s="178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str">
        <f>Лист2!A19</f>
        <v>Термін, 12 міс. (ПУМБ БК)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-10000</v>
      </c>
      <c r="H28" s="272"/>
      <c r="I28" s="3"/>
      <c r="K28" s="132" t="str">
        <f>Лист2!A20</f>
        <v>Термін, 36 міс. (СФ)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344.39754887762552</v>
      </c>
      <c r="E29" s="166">
        <f>IF(B29&lt;=$F$15,(E$17*(VLOOKUP($H$2,Лист2!$A:$N,12,0)-(B29-1)*VLOOKUP($H$2,Лист2!$A:$N,13,0))),0)</f>
        <v>457.56</v>
      </c>
      <c r="F29" s="166">
        <f>ROUND(E$17*F$9*30/365,2)</f>
        <v>0.1</v>
      </c>
      <c r="G29" s="269">
        <f>SUM(D29:F29)</f>
        <v>802.05754887762555</v>
      </c>
      <c r="H29" s="269"/>
      <c r="I29" s="3"/>
      <c r="K29" s="132" t="str">
        <f>Лист2!A21</f>
        <v>Термін, 24 міс. (СФ)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344.39754887762552</v>
      </c>
      <c r="E30" s="168">
        <f>IF(B30&lt;=$F$15,(E$17*(VLOOKUP($H$2,Лист2!$A:$N,12,0)-(B30-1)*VLOOKUP($H$2,Лист2!$A:$N,13,0))),0)</f>
        <v>457.56</v>
      </c>
      <c r="F30" s="169">
        <f>ROUND((E$17-SUM(D$29:D29))*F$9*30/365,2)</f>
        <v>0.1</v>
      </c>
      <c r="G30" s="269">
        <f t="shared" ref="G30:G88" si="1">SUM(D30:F30)</f>
        <v>802.05754887762555</v>
      </c>
      <c r="H30" s="269"/>
      <c r="I30" s="3"/>
      <c r="K30" s="132" t="str">
        <f>Лист2!A22</f>
        <v>Термін, 18 міс. (СФ)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344.39754887762552</v>
      </c>
      <c r="E31" s="168">
        <f>IF(B31&lt;=$F$15,(E$17*(VLOOKUP($H$2,Лист2!$A:$N,12,0)-(B31-1)*VLOOKUP($H$2,Лист2!$A:$N,13,0))),0)</f>
        <v>457.56</v>
      </c>
      <c r="F31" s="169">
        <f>ROUND((E$17-SUM(D$29:D30))*F$9*30/365,2)</f>
        <v>0.1</v>
      </c>
      <c r="G31" s="269">
        <f t="shared" si="1"/>
        <v>802.05754887762555</v>
      </c>
      <c r="H31" s="269"/>
      <c r="I31" s="3"/>
      <c r="K31" s="132" t="str">
        <f>Лист2!A23</f>
        <v>Термін, 12 міс. (СФ)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344.40754887762557</v>
      </c>
      <c r="E32" s="168">
        <f>IF(B32&lt;=$F$15,(E$17*(VLOOKUP($H$2,Лист2!$A:$N,12,0)-(B32-1)*VLOOKUP($H$2,Лист2!$A:$N,13,0))),0)</f>
        <v>457.56</v>
      </c>
      <c r="F32" s="169">
        <f>ROUND((E$17-SUM(D$29:D31))*F$9*30/365,2)</f>
        <v>0.09</v>
      </c>
      <c r="G32" s="269">
        <f t="shared" si="1"/>
        <v>802.05754887762566</v>
      </c>
      <c r="H32" s="269"/>
      <c r="I32" s="3"/>
      <c r="K32" s="132" t="str">
        <f>Лист2!A24</f>
        <v>Консолідований Х, 60 міс.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344.40754887762557</v>
      </c>
      <c r="E33" s="168">
        <f>IF(B33&lt;=$F$15,(E$17*(VLOOKUP($H$2,Лист2!$A:$N,12,0)-(B33-1)*VLOOKUP($H$2,Лист2!$A:$N,13,0))),0)</f>
        <v>457.56</v>
      </c>
      <c r="F33" s="169">
        <f>ROUND((E$17-SUM(D$29:D32))*F$9*30/365,2)</f>
        <v>0.09</v>
      </c>
      <c r="G33" s="269">
        <f t="shared" si="1"/>
        <v>802.05754887762566</v>
      </c>
      <c r="H33" s="269"/>
      <c r="I33" s="3"/>
      <c r="K33" s="132" t="str">
        <f>Лист2!A25</f>
        <v>Консолідований Х, 48 міс.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344.40754887762557</v>
      </c>
      <c r="E34" s="168">
        <f>IF(B34&lt;=$F$15,(E$17*(VLOOKUP($H$2,Лист2!$A:$N,12,0)-(B34-1)*VLOOKUP($H$2,Лист2!$A:$N,13,0))),0)</f>
        <v>457.56</v>
      </c>
      <c r="F34" s="169">
        <f>ROUND((E$17-SUM(D$29:D33))*F$9*30/365,2)</f>
        <v>0.09</v>
      </c>
      <c r="G34" s="269">
        <f t="shared" si="1"/>
        <v>802.05754887762566</v>
      </c>
      <c r="H34" s="269"/>
      <c r="I34" s="3"/>
      <c r="K34" s="132" t="str">
        <f>Лист2!A26</f>
        <v>Консолідований Х, 36 міс.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344.41754887762556</v>
      </c>
      <c r="E35" s="168">
        <f>IF(B35&lt;=$F$15,(E$17*(VLOOKUP($H$2,Лист2!$A:$N,12,0)-(B35-1)*VLOOKUP($H$2,Лист2!$A:$N,13,0))),0)</f>
        <v>457.56</v>
      </c>
      <c r="F35" s="169">
        <f>ROUND((E$17-SUM(D$29:D34))*F$9*30/365,2)</f>
        <v>0.08</v>
      </c>
      <c r="G35" s="269">
        <f t="shared" si="1"/>
        <v>802.05754887762566</v>
      </c>
      <c r="H35" s="269"/>
      <c r="I35" s="3"/>
      <c r="K35" s="132" t="str">
        <f>Лист2!A27</f>
        <v>Консолідований Х, 24 міс.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344.41754887762556</v>
      </c>
      <c r="E36" s="168">
        <f>IF(B36&lt;=$F$15,(E$17*(VLOOKUP($H$2,Лист2!$A:$N,12,0)-(B36-1)*VLOOKUP($H$2,Лист2!$A:$N,13,0))),0)</f>
        <v>457.56</v>
      </c>
      <c r="F36" s="169">
        <f>ROUND((E$17-SUM(D$29:D35))*F$9*30/365,2)</f>
        <v>0.08</v>
      </c>
      <c r="G36" s="269">
        <f t="shared" si="1"/>
        <v>802.05754887762566</v>
      </c>
      <c r="H36" s="269"/>
      <c r="I36" s="3"/>
      <c r="K36" s="132" t="str">
        <f>Лист2!A28</f>
        <v>Консолідований Х, 18 міс.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344.41754887762556</v>
      </c>
      <c r="E37" s="168">
        <f>IF(B37&lt;=$F$15,(E$17*(VLOOKUP($H$2,Лист2!$A:$N,12,0)-(B37-1)*VLOOKUP($H$2,Лист2!$A:$N,13,0))),0)</f>
        <v>457.56</v>
      </c>
      <c r="F37" s="169">
        <f>ROUND((E$17-SUM(D$29:D36))*F$9*30/365,2)</f>
        <v>0.08</v>
      </c>
      <c r="G37" s="269">
        <f t="shared" si="1"/>
        <v>802.05754887762566</v>
      </c>
      <c r="H37" s="269"/>
      <c r="I37" s="3"/>
      <c r="K37" s="132" t="str">
        <f>Лист2!A29</f>
        <v>Консолідований Х, 12 міс.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344.41754887762556</v>
      </c>
      <c r="E38" s="168">
        <f>IF(B38&lt;=$F$15,(E$17*(VLOOKUP($H$2,Лист2!$A:$N,12,0)-(B38-1)*VLOOKUP($H$2,Лист2!$A:$N,13,0))),0)</f>
        <v>457.56</v>
      </c>
      <c r="F38" s="169">
        <f>ROUND((E$17-SUM(D$29:D37))*F$9*30/365,2)</f>
        <v>0.08</v>
      </c>
      <c r="G38" s="269">
        <f t="shared" si="1"/>
        <v>802.05754887762566</v>
      </c>
      <c r="H38" s="269"/>
      <c r="I38" s="3"/>
      <c r="K38" s="132" t="str">
        <f>Лист2!A30</f>
        <v>Для ВАС Х, 48 міс.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344.42754887762555</v>
      </c>
      <c r="E39" s="168">
        <f>IF(B39&lt;=$F$15,(E$17*(VLOOKUP($H$2,Лист2!$A:$N,12,0)-(B39-1)*VLOOKUP($H$2,Лист2!$A:$N,13,0))),0)</f>
        <v>457.56</v>
      </c>
      <c r="F39" s="169">
        <f>ROUND((E$17-SUM(D$29:D38))*F$9*30/365,2)</f>
        <v>7.0000000000000007E-2</v>
      </c>
      <c r="G39" s="269">
        <f t="shared" si="1"/>
        <v>802.05754887762566</v>
      </c>
      <c r="H39" s="269"/>
      <c r="I39" s="3"/>
      <c r="K39" s="132" t="str">
        <f>Лист2!A31</f>
        <v>Для ВАС Х, 36 міс.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344.42754887762555</v>
      </c>
      <c r="E40" s="168">
        <f>IF(B40&lt;=$F$15,(E$17*(VLOOKUP($H$2,Лист2!$A:$N,12,0)-(B40-1)*VLOOKUP($H$2,Лист2!$A:$N,13,0))),0)</f>
        <v>457.56</v>
      </c>
      <c r="F40" s="169">
        <f>ROUND((E$17-SUM(D$29:D39))*F$9*30/365,2)</f>
        <v>7.0000000000000007E-2</v>
      </c>
      <c r="G40" s="269">
        <f t="shared" si="1"/>
        <v>802.05754887762566</v>
      </c>
      <c r="H40" s="269"/>
      <c r="I40" s="3"/>
      <c r="K40" s="132" t="str">
        <f>Лист2!A32</f>
        <v>Для ВАС Х, 30 міс.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344.42754887762555</v>
      </c>
      <c r="E41" s="168">
        <f>IF(B41&lt;=$F$15,(E$17*(VLOOKUP($H$2,Лист2!$A:$N,12,0)-(B41-1)*VLOOKUP($H$2,Лист2!$A:$N,13,0))),0)</f>
        <v>457.56</v>
      </c>
      <c r="F41" s="169">
        <f>ROUND((E$17-SUM(D$29:D40))*F$9*30/365,2)</f>
        <v>7.0000000000000007E-2</v>
      </c>
      <c r="G41" s="269">
        <f t="shared" si="1"/>
        <v>802.05754887762566</v>
      </c>
      <c r="H41" s="269"/>
      <c r="I41" s="3"/>
      <c r="K41" s="132" t="str">
        <f>Лист2!A33</f>
        <v>Для ВАС Х, 24 міс.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344.42754887762555</v>
      </c>
      <c r="E42" s="168">
        <f>IF(B42&lt;=$F$15,(E$17*(VLOOKUP($H$2,Лист2!$A:$N,12,0)-(B42-1)*VLOOKUP($H$2,Лист2!$A:$N,13,0))),0)</f>
        <v>457.56</v>
      </c>
      <c r="F42" s="169">
        <f>ROUND((E$17-SUM(D$29:D41))*F$9*30/365,2)</f>
        <v>7.0000000000000007E-2</v>
      </c>
      <c r="G42" s="269">
        <f t="shared" si="1"/>
        <v>802.05754887762566</v>
      </c>
      <c r="H42" s="269"/>
      <c r="I42" s="3"/>
      <c r="K42" s="132" t="str">
        <f>Лист2!A34</f>
        <v>Для ВАС Х, 18 міс.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344.43754887762555</v>
      </c>
      <c r="E43" s="168">
        <f>IF(B43&lt;=$F$15,(E$17*(VLOOKUP($H$2,Лист2!$A:$N,12,0)-(B43-1)*VLOOKUP($H$2,Лист2!$A:$N,13,0))),0)</f>
        <v>457.56</v>
      </c>
      <c r="F43" s="169">
        <f>ROUND((E$17-SUM(D$29:D42))*F$9*30/365,2)</f>
        <v>0.06</v>
      </c>
      <c r="G43" s="269">
        <f t="shared" si="1"/>
        <v>802.05754887762555</v>
      </c>
      <c r="H43" s="269"/>
      <c r="I43" s="3"/>
      <c r="K43" s="132" t="str">
        <f>Лист2!A35</f>
        <v>Для ВАС Х, 12 міс.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344.43754887762555</v>
      </c>
      <c r="E44" s="168">
        <f>IF(B44&lt;=$F$15,(E$17*(VLOOKUP($H$2,Лист2!$A:$N,12,0)-(B44-1)*VLOOKUP($H$2,Лист2!$A:$N,13,0))),0)</f>
        <v>457.56</v>
      </c>
      <c r="F44" s="169">
        <f>ROUND((E$17-SUM(D$29:D43))*F$9*30/365,2)</f>
        <v>0.06</v>
      </c>
      <c r="G44" s="269">
        <f t="shared" si="1"/>
        <v>802.05754887762555</v>
      </c>
      <c r="H44" s="269"/>
      <c r="I44" s="3"/>
      <c r="K44" s="132" t="str">
        <f>Лист2!A36</f>
        <v>Бюджетний Х, 48 міс.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344.43754887762555</v>
      </c>
      <c r="E45" s="168">
        <f>IF(B45&lt;=$F$15,(E$17*(VLOOKUP($H$2,Лист2!$A:$N,12,0)-(B45-1)*VLOOKUP($H$2,Лист2!$A:$N,13,0))),0)</f>
        <v>457.56</v>
      </c>
      <c r="F45" s="169">
        <f>ROUND((E$17-SUM(D$29:D44))*F$9*30/365,2)</f>
        <v>0.06</v>
      </c>
      <c r="G45" s="269">
        <f t="shared" si="1"/>
        <v>802.05754887762555</v>
      </c>
      <c r="H45" s="269"/>
      <c r="I45" s="3"/>
      <c r="K45" s="132" t="str">
        <f>Лист2!A37</f>
        <v>Бюджетний Х, 36 міс.</v>
      </c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344.44754887762554</v>
      </c>
      <c r="E46" s="168">
        <f>IF(B46&lt;=$F$15,(E$17*(VLOOKUP($H$2,Лист2!$A:$N,12,0)-(B46-1)*VLOOKUP($H$2,Лист2!$A:$N,13,0))),0)</f>
        <v>457.56</v>
      </c>
      <c r="F46" s="169">
        <f>ROUND((E$17-SUM(D$29:D45))*F$9*30/365,2)</f>
        <v>0.05</v>
      </c>
      <c r="G46" s="269">
        <f t="shared" si="1"/>
        <v>802.05754887762555</v>
      </c>
      <c r="H46" s="269"/>
      <c r="I46" s="3"/>
      <c r="K46" s="132" t="str">
        <f>Лист2!A38</f>
        <v>Бюджетний Х, 30 міс.</v>
      </c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344.44754887762554</v>
      </c>
      <c r="E47" s="168">
        <f>IF(B47&lt;=$F$15,(E$17*(VLOOKUP($H$2,Лист2!$A:$N,12,0)-(B47-1)*VLOOKUP($H$2,Лист2!$A:$N,13,0))),0)</f>
        <v>457.56</v>
      </c>
      <c r="F47" s="169">
        <f>ROUND((E$17-SUM(D$29:D46))*F$9*30/365,2)</f>
        <v>0.05</v>
      </c>
      <c r="G47" s="269">
        <f t="shared" si="1"/>
        <v>802.05754887762555</v>
      </c>
      <c r="H47" s="269"/>
      <c r="I47" s="3"/>
      <c r="K47" s="132" t="str">
        <f>Лист2!A39</f>
        <v>Бюджетний Х, 24 міс.</v>
      </c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344.44754887762554</v>
      </c>
      <c r="E48" s="168">
        <f>IF(B48&lt;=$F$15,(E$17*(VLOOKUP($H$2,Лист2!$A:$N,12,0)-(B48-1)*VLOOKUP($H$2,Лист2!$A:$N,13,0))),0)</f>
        <v>457.56</v>
      </c>
      <c r="F48" s="169">
        <f>ROUND((E$17-SUM(D$29:D47))*F$9*30/365,2)</f>
        <v>0.05</v>
      </c>
      <c r="G48" s="269">
        <f t="shared" si="1"/>
        <v>802.05754887762555</v>
      </c>
      <c r="H48" s="269"/>
      <c r="I48" s="3"/>
      <c r="K48" s="132" t="str">
        <f>Лист2!A40</f>
        <v>Бюджетний Х, 18 міс.</v>
      </c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344.44754887762554</v>
      </c>
      <c r="E49" s="168">
        <f>IF(B49&lt;=$F$15,(E$17*(VLOOKUP($H$2,Лист2!$A:$N,12,0)-(B49-1)*VLOOKUP($H$2,Лист2!$A:$N,13,0))),0)</f>
        <v>457.56</v>
      </c>
      <c r="F49" s="169">
        <f>ROUND((E$17-SUM(D$29:D48))*F$9*30/365,2)</f>
        <v>0.05</v>
      </c>
      <c r="G49" s="269">
        <f t="shared" si="1"/>
        <v>802.05754887762555</v>
      </c>
      <c r="H49" s="269"/>
      <c r="I49" s="3"/>
      <c r="K49" s="132" t="str">
        <f>Лист2!A41</f>
        <v>Бюджетний Х, 12 міс.</v>
      </c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344.45754887762553</v>
      </c>
      <c r="E50" s="168">
        <f>IF(B50&lt;=$F$15,(E$17*(VLOOKUP($H$2,Лист2!$A:$N,12,0)-(B50-1)*VLOOKUP($H$2,Лист2!$A:$N,13,0))),0)</f>
        <v>457.56</v>
      </c>
      <c r="F50" s="169">
        <f>ROUND((E$17-SUM(D$29:D49))*F$9*30/365,2)</f>
        <v>0.04</v>
      </c>
      <c r="G50" s="269">
        <f t="shared" si="1"/>
        <v>802.05754887762555</v>
      </c>
      <c r="H50" s="269"/>
      <c r="I50" s="3"/>
      <c r="K50" s="132" t="str">
        <f>Лист2!A42</f>
        <v>Пенсійний Х, 30 міс.</v>
      </c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344.45754887762553</v>
      </c>
      <c r="E51" s="168">
        <f>IF(B51&lt;=$F$15,(E$17*(VLOOKUP($H$2,Лист2!$A:$N,12,0)-(B51-1)*VLOOKUP($H$2,Лист2!$A:$N,13,0))),0)</f>
        <v>457.56</v>
      </c>
      <c r="F51" s="169">
        <f>ROUND((E$17-SUM(D$29:D50))*F$9*30/365,2)</f>
        <v>0.04</v>
      </c>
      <c r="G51" s="269">
        <f t="shared" si="1"/>
        <v>802.05754887762555</v>
      </c>
      <c r="H51" s="269"/>
      <c r="I51" s="3"/>
      <c r="K51" s="132" t="str">
        <f>Лист2!A43</f>
        <v>Пенсійний Х, 24 міс.</v>
      </c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344.45754887762553</v>
      </c>
      <c r="E52" s="168">
        <f>IF(B52&lt;=$F$15,(E$17*(VLOOKUP($H$2,Лист2!$A:$N,12,0)-(B52-1)*VLOOKUP($H$2,Лист2!$A:$N,13,0))),0)</f>
        <v>457.56</v>
      </c>
      <c r="F52" s="169">
        <f>ROUND((E$17-SUM(D$29:D51))*F$9*30/365,2)</f>
        <v>0.04</v>
      </c>
      <c r="G52" s="269">
        <f t="shared" si="1"/>
        <v>802.05754887762555</v>
      </c>
      <c r="H52" s="269"/>
      <c r="I52" s="3"/>
      <c r="K52" s="132" t="str">
        <f>Лист2!A44</f>
        <v>Пенсійний Х, 18 міс.</v>
      </c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344.46754887762557</v>
      </c>
      <c r="E53" s="168">
        <f>IF(B53&lt;=$F$15,(E$17*(VLOOKUP($H$2,Лист2!$A:$N,12,0)-(B53-1)*VLOOKUP($H$2,Лист2!$A:$N,13,0))),0)</f>
        <v>457.56</v>
      </c>
      <c r="F53" s="169">
        <f>ROUND((E$17-SUM(D$29:D52))*F$9*30/365,2)</f>
        <v>0.03</v>
      </c>
      <c r="G53" s="269">
        <f t="shared" si="1"/>
        <v>802.05754887762555</v>
      </c>
      <c r="H53" s="269"/>
      <c r="I53" s="3"/>
      <c r="K53" s="132" t="str">
        <f>Лист2!A45</f>
        <v>Пенсійний Х, 12 міс.</v>
      </c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344.46754887762557</v>
      </c>
      <c r="E54" s="168">
        <f>IF(B54&lt;=$F$15,(E$17*(VLOOKUP($H$2,Лист2!$A:$N,12,0)-(B54-1)*VLOOKUP($H$2,Лист2!$A:$N,13,0))),0)</f>
        <v>457.56</v>
      </c>
      <c r="F54" s="169">
        <f>ROUND((E$17-SUM(D$29:D53))*F$9*30/365,2)</f>
        <v>0.03</v>
      </c>
      <c r="G54" s="269">
        <f t="shared" si="1"/>
        <v>802.05754887762555</v>
      </c>
      <c r="H54" s="269"/>
      <c r="I54" s="3"/>
      <c r="K54" s="132" t="str">
        <f>Лист2!A46</f>
        <v>BIG CASH (ОТП), 48 міс.</v>
      </c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344.46754887762557</v>
      </c>
      <c r="E55" s="168">
        <f>IF(B55&lt;=$F$15,(E$17*(VLOOKUP($H$2,Лист2!$A:$N,12,0)-(B55-1)*VLOOKUP($H$2,Лист2!$A:$N,13,0))),0)</f>
        <v>457.56</v>
      </c>
      <c r="F55" s="169">
        <f>ROUND((E$17-SUM(D$29:D54))*F$9*30/365,2)</f>
        <v>0.03</v>
      </c>
      <c r="G55" s="269">
        <f t="shared" si="1"/>
        <v>802.05754887762555</v>
      </c>
      <c r="H55" s="269"/>
      <c r="I55" s="3"/>
      <c r="K55" s="132" t="str">
        <f>Лист2!A47</f>
        <v>BIG CASH (ОТП), 36 міс.</v>
      </c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344.46754887762557</v>
      </c>
      <c r="E56" s="168">
        <f>IF(B56&lt;=$F$15,(E$17*(VLOOKUP($H$2,Лист2!$A:$N,12,0)-(B56-1)*VLOOKUP($H$2,Лист2!$A:$N,13,0))),0)</f>
        <v>457.56</v>
      </c>
      <c r="F56" s="169">
        <f>ROUND((E$17-SUM(D$29:D55))*F$9*30/365,2)</f>
        <v>0.03</v>
      </c>
      <c r="G56" s="269">
        <f t="shared" si="1"/>
        <v>802.05754887762555</v>
      </c>
      <c r="H56" s="269"/>
      <c r="I56" s="3"/>
      <c r="K56" s="132" t="str">
        <f>Лист2!A48</f>
        <v>BIG CASH (ОТП), 30 міс.</v>
      </c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344.47754887762557</v>
      </c>
      <c r="E57" s="168">
        <f>IF(B57&lt;=$F$15,(E$17*(VLOOKUP($H$2,Лист2!$A:$N,12,0)-(B57-1)*VLOOKUP($H$2,Лист2!$A:$N,13,0))),0)</f>
        <v>457.56</v>
      </c>
      <c r="F57" s="169">
        <f>ROUND((E$17-SUM(D$29:D56))*F$9*30/365,2)</f>
        <v>0.02</v>
      </c>
      <c r="G57" s="269">
        <f t="shared" si="1"/>
        <v>802.05754887762555</v>
      </c>
      <c r="H57" s="269"/>
      <c r="I57" s="3"/>
      <c r="K57" s="132" t="str">
        <f>Лист2!A49</f>
        <v>BIG CASH (ОТП), 24 міс.</v>
      </c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344.47754887762557</v>
      </c>
      <c r="E58" s="168">
        <f>IF(B58&lt;=$F$15,(E$17*(VLOOKUP($H$2,Лист2!$A:$N,12,0)-(B58-1)*VLOOKUP($H$2,Лист2!$A:$N,13,0))),0)</f>
        <v>457.56</v>
      </c>
      <c r="F58" s="169">
        <f>ROUND((E$17-SUM(D$29:D57))*F$9*30/365,2)</f>
        <v>0.02</v>
      </c>
      <c r="G58" s="269">
        <f t="shared" si="1"/>
        <v>802.05754887762555</v>
      </c>
      <c r="H58" s="269"/>
      <c r="I58" s="124"/>
      <c r="J58" s="124"/>
      <c r="K58" s="132" t="str">
        <f>Лист2!A50</f>
        <v>BIG CASH (ОТП), 18 міс.</v>
      </c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344.47754887762557</v>
      </c>
      <c r="E59" s="168">
        <f>IF(B59&lt;=$F$15,(E$17*(VLOOKUP($H$2,Лист2!$A:$N,12,0)-(B59-1)*VLOOKUP($H$2,Лист2!$A:$N,13,0))),0)</f>
        <v>457.56</v>
      </c>
      <c r="F59" s="169">
        <f>ROUND((E$17-SUM(D$29:D58))*F$9*30/365,2)</f>
        <v>0.02</v>
      </c>
      <c r="G59" s="269">
        <f t="shared" si="1"/>
        <v>802.05754887762555</v>
      </c>
      <c r="H59" s="269"/>
      <c r="I59" s="124"/>
      <c r="J59" s="124"/>
      <c r="K59" s="132" t="str">
        <f>Лист2!A51</f>
        <v>BIG CASH (ОТП), 12 міс.</v>
      </c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344.48754887762556</v>
      </c>
      <c r="E60" s="168">
        <f>IF(B60&lt;=$F$15,(E$17*(VLOOKUP($H$2,Лист2!$A:$N,12,0)-(B60-1)*VLOOKUP($H$2,Лист2!$A:$N,13,0))),0)</f>
        <v>457.56</v>
      </c>
      <c r="F60" s="169">
        <f>ROUND((E$17-SUM(D$29:D59))*F$9*30/365,2)</f>
        <v>0.01</v>
      </c>
      <c r="G60" s="269">
        <f t="shared" si="1"/>
        <v>802.05754887762555</v>
      </c>
      <c r="H60" s="269"/>
      <c r="I60" s="124"/>
      <c r="J60" s="124"/>
      <c r="K60" s="132" t="str">
        <f>Лист2!A52</f>
        <v>Кредит Маркет, 36 міс.</v>
      </c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344.48754887762556</v>
      </c>
      <c r="E61" s="168">
        <f>IF(B61&lt;=$F$15,(E$17*(VLOOKUP($H$2,Лист2!$A:$N,12,0)-(B61-1)*VLOOKUP($H$2,Лист2!$A:$N,13,0))),0)</f>
        <v>457.56</v>
      </c>
      <c r="F61" s="169">
        <f>ROUND((E$17-SUM(D$29:D60))*F$9*30/365,2)</f>
        <v>0.01</v>
      </c>
      <c r="G61" s="269">
        <f t="shared" si="1"/>
        <v>802.05754887762555</v>
      </c>
      <c r="H61" s="269"/>
      <c r="I61" s="124"/>
      <c r="J61" s="124"/>
      <c r="K61" s="132" t="str">
        <f>Лист2!A53</f>
        <v>Кредит Маркет, 30 міс.</v>
      </c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344.48754887762556</v>
      </c>
      <c r="E62" s="168">
        <f>IF(B62&lt;=$F$15,(E$17*(VLOOKUP($H$2,Лист2!$A:$N,12,0)-(B62-1)*VLOOKUP($H$2,Лист2!$A:$N,13,0))),0)</f>
        <v>457.56</v>
      </c>
      <c r="F62" s="169">
        <f>ROUND((E$17-SUM(D$29:D61))*F$9*30/365,2)</f>
        <v>0.01</v>
      </c>
      <c r="G62" s="269">
        <f t="shared" si="1"/>
        <v>802.05754887762555</v>
      </c>
      <c r="H62" s="269"/>
      <c r="I62" s="124"/>
      <c r="J62" s="124"/>
      <c r="K62" s="132" t="str">
        <f>Лист2!A54</f>
        <v>Кредит Маркет, 24 міс.</v>
      </c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344.48754887762556</v>
      </c>
      <c r="E63" s="168">
        <f>IF(B63&lt;=$F$15,(E$17*(VLOOKUP($H$2,Лист2!$A:$N,12,0)-(B63-1)*VLOOKUP($H$2,Лист2!$A:$N,13,0))),0)</f>
        <v>457.56</v>
      </c>
      <c r="F63" s="169">
        <f>ROUND((E$17-SUM(D$29:D62))*F$9*30/365,2)</f>
        <v>0.01</v>
      </c>
      <c r="G63" s="269">
        <f t="shared" si="1"/>
        <v>802.05754887762555</v>
      </c>
      <c r="H63" s="269"/>
      <c r="I63" s="124"/>
      <c r="J63" s="124"/>
      <c r="K63" s="132" t="str">
        <f>Лист2!A55</f>
        <v>Кредит Маркет, 18 міс.</v>
      </c>
    </row>
    <row r="64" spans="1:11" ht="13.8" thickBot="1" x14ac:dyDescent="0.3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344.47578928311304</v>
      </c>
      <c r="E64" s="168">
        <f>IF(B64&lt;=$F$15,(E$17*(VLOOKUP($H$2,Лист2!$A:$N,12,0)-(B64-1)*VLOOKUP($H$2,Лист2!$A:$N,13,0))),0)</f>
        <v>457.56</v>
      </c>
      <c r="F64" s="169">
        <f>ROUND((E$17-SUM(D$29:D63))*F$9*30/365,2)</f>
        <v>0</v>
      </c>
      <c r="G64" s="269">
        <f t="shared" si="1"/>
        <v>802.03578928311299</v>
      </c>
      <c r="H64" s="269"/>
      <c r="I64" s="124"/>
      <c r="J64" s="124"/>
      <c r="K64" s="132" t="str">
        <f>Лист2!A56</f>
        <v>Кредит Маркет, 12 міс.</v>
      </c>
    </row>
    <row r="65" spans="1:11" ht="13.8" hidden="1" thickBot="1" x14ac:dyDescent="0.3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0</v>
      </c>
      <c r="E65" s="168">
        <f>IF(B65&lt;=$F$15,(E$17*(VLOOKUP($H$2,Лист2!$A:$N,12,0)-(B65-1)*VLOOKUP($H$2,Лист2!$A:$N,13,0))),0)</f>
        <v>0</v>
      </c>
      <c r="F65" s="169">
        <f>ROUND((E$17-SUM(D$29:D64))*F$9*30/365,2)</f>
        <v>0</v>
      </c>
      <c r="G65" s="269">
        <f t="shared" si="1"/>
        <v>0</v>
      </c>
      <c r="H65" s="269"/>
      <c r="I65" s="124"/>
      <c r="J65" s="124"/>
      <c r="K65" s="132" t="str">
        <f>Лист2!A57</f>
        <v>Big Cash Х2 (ОТП), 48 міс.</v>
      </c>
    </row>
    <row r="66" spans="1:11" ht="13.8" hidden="1" thickBot="1" x14ac:dyDescent="0.3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0</v>
      </c>
      <c r="E66" s="168">
        <f>IF(B66&lt;=$F$15,(E$17*(VLOOKUP($H$2,Лист2!$A:$N,12,0)-(B66-1)*VLOOKUP($H$2,Лист2!$A:$N,13,0))),0)</f>
        <v>0</v>
      </c>
      <c r="F66" s="169">
        <f>ROUND((E$17-SUM(D$29:D65))*F$9*30/365,2)</f>
        <v>0</v>
      </c>
      <c r="G66" s="269">
        <f t="shared" si="1"/>
        <v>0</v>
      </c>
      <c r="H66" s="269"/>
      <c r="I66" s="124"/>
      <c r="J66" s="124"/>
      <c r="K66" s="132" t="str">
        <f>Лист2!A58</f>
        <v>Big Cash Х2 (ОТП), 36 міс.</v>
      </c>
    </row>
    <row r="67" spans="1:11" ht="13.8" hidden="1" thickBot="1" x14ac:dyDescent="0.3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0</v>
      </c>
      <c r="E67" s="168">
        <f>IF(B67&lt;=$F$15,(E$17*(VLOOKUP($H$2,Лист2!$A:$N,12,0)-(B67-1)*VLOOKUP($H$2,Лист2!$A:$N,13,0))),0)</f>
        <v>0</v>
      </c>
      <c r="F67" s="169">
        <f>ROUND((E$17-SUM(D$29:D66))*F$9*30/365,2)</f>
        <v>0</v>
      </c>
      <c r="G67" s="269">
        <f t="shared" si="1"/>
        <v>0</v>
      </c>
      <c r="H67" s="269"/>
      <c r="I67" s="124"/>
      <c r="J67" s="124"/>
      <c r="K67" s="132" t="str">
        <f>Лист2!A59</f>
        <v>Big Cash Х2 (ОТП), 30 міс.</v>
      </c>
    </row>
    <row r="68" spans="1:11" ht="13.8" hidden="1" thickBot="1" x14ac:dyDescent="0.3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0</v>
      </c>
      <c r="E68" s="168">
        <f>IF(B68&lt;=$F$15,(E$17*(VLOOKUP($H$2,Лист2!$A:$N,12,0)-(B68-1)*VLOOKUP($H$2,Лист2!$A:$N,13,0))),0)</f>
        <v>0</v>
      </c>
      <c r="F68" s="169">
        <f>ROUND((E$17-SUM(D$29:D67))*F$9*30/365,2)</f>
        <v>0</v>
      </c>
      <c r="G68" s="269">
        <f t="shared" si="1"/>
        <v>0</v>
      </c>
      <c r="H68" s="269"/>
      <c r="I68" s="124"/>
      <c r="J68" s="124"/>
      <c r="K68" s="132" t="str">
        <f>Лист2!A60</f>
        <v>Big Cash Х2 (ОТП), 24 міс.</v>
      </c>
    </row>
    <row r="69" spans="1:11" ht="13.8" hidden="1" thickBot="1" x14ac:dyDescent="0.3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0</v>
      </c>
      <c r="E69" s="168">
        <f>IF(B69&lt;=$F$15,(E$17*(VLOOKUP($H$2,Лист2!$A:$N,12,0)-(B69-1)*VLOOKUP($H$2,Лист2!$A:$N,13,0))),0)</f>
        <v>0</v>
      </c>
      <c r="F69" s="169">
        <f>ROUND((E$17-SUM(D$29:D68))*F$9*30/365,2)</f>
        <v>0</v>
      </c>
      <c r="G69" s="269">
        <f t="shared" si="1"/>
        <v>0</v>
      </c>
      <c r="H69" s="269"/>
      <c r="I69" s="124"/>
      <c r="J69" s="124"/>
      <c r="K69" s="132" t="str">
        <f>Лист2!A61</f>
        <v>Big Cash Х2 (ОТП), 18 міс.</v>
      </c>
    </row>
    <row r="70" spans="1:11" ht="13.8" hidden="1" thickBot="1" x14ac:dyDescent="0.3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0</v>
      </c>
      <c r="E70" s="168">
        <f>IF(B70&lt;=$F$15,(E$17*(VLOOKUP($H$2,Лист2!$A:$N,12,0)-(B70-1)*VLOOKUP($H$2,Лист2!$A:$N,13,0))),0)</f>
        <v>0</v>
      </c>
      <c r="F70" s="169">
        <f>ROUND((E$17-SUM(D$29:D69))*F$9*30/365,2)</f>
        <v>0</v>
      </c>
      <c r="G70" s="269">
        <f t="shared" si="1"/>
        <v>0</v>
      </c>
      <c r="H70" s="269"/>
      <c r="I70" s="124"/>
      <c r="J70" s="124"/>
      <c r="K70" s="132" t="str">
        <f>Лист2!A62</f>
        <v>Big Cash Х2 (ОТП), 12 міс.</v>
      </c>
    </row>
    <row r="71" spans="1:11" ht="13.8" hidden="1" thickBot="1" x14ac:dyDescent="0.3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0</v>
      </c>
      <c r="E71" s="168">
        <f>IF(B71&lt;=$F$15,(E$17*(VLOOKUP($H$2,Лист2!$A:$N,12,0)-(B71-1)*VLOOKUP($H$2,Лист2!$A:$N,13,0))),0)</f>
        <v>0</v>
      </c>
      <c r="F71" s="169">
        <f>ROUND((E$17-SUM(D$29:D70))*F$9*30/365,2)</f>
        <v>0</v>
      </c>
      <c r="G71" s="269">
        <f t="shared" si="1"/>
        <v>0</v>
      </c>
      <c r="H71" s="269"/>
      <c r="I71" s="124"/>
      <c r="J71" s="124"/>
      <c r="K71" s="132">
        <f>Лист2!A63</f>
        <v>0</v>
      </c>
    </row>
    <row r="72" spans="1:11" ht="13.8" hidden="1" thickBot="1" x14ac:dyDescent="0.3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0</v>
      </c>
      <c r="E72" s="168">
        <f>IF(B72&lt;=$F$15,(E$17*(VLOOKUP($H$2,Лист2!$A:$N,12,0)-(B72-1)*VLOOKUP($H$2,Лист2!$A:$N,13,0))),0)</f>
        <v>0</v>
      </c>
      <c r="F72" s="169">
        <f>ROUND((E$17-SUM(D$29:D71))*F$9*30/365,2)</f>
        <v>0</v>
      </c>
      <c r="G72" s="269">
        <f t="shared" si="1"/>
        <v>0</v>
      </c>
      <c r="H72" s="269"/>
      <c r="I72" s="124"/>
      <c r="J72" s="124"/>
      <c r="K72" s="132">
        <f>Лист2!A64</f>
        <v>0</v>
      </c>
    </row>
    <row r="73" spans="1:11" ht="13.8" hidden="1" thickBot="1" x14ac:dyDescent="0.3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0</v>
      </c>
      <c r="E73" s="168">
        <f>IF(B73&lt;=$F$15,(E$17*(VLOOKUP($H$2,Лист2!$A:$N,12,0)-(B73-1)*VLOOKUP($H$2,Лист2!$A:$N,13,0))),0)</f>
        <v>0</v>
      </c>
      <c r="F73" s="169">
        <f>ROUND((E$17-SUM(D$29:D72))*F$9*30/365,2)</f>
        <v>0</v>
      </c>
      <c r="G73" s="269">
        <f t="shared" si="1"/>
        <v>0</v>
      </c>
      <c r="H73" s="269"/>
      <c r="I73" s="124"/>
      <c r="J73" s="124"/>
      <c r="K73" s="132">
        <f>Лист2!A65</f>
        <v>0</v>
      </c>
    </row>
    <row r="74" spans="1:11" ht="13.8" hidden="1" thickBot="1" x14ac:dyDescent="0.3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0</v>
      </c>
      <c r="E74" s="168">
        <f>IF(B74&lt;=$F$15,(E$17*(VLOOKUP($H$2,Лист2!$A:$N,12,0)-(B74-1)*VLOOKUP($H$2,Лист2!$A:$N,13,0))),0)</f>
        <v>0</v>
      </c>
      <c r="F74" s="169">
        <f>ROUND((E$17-SUM(D$29:D73))*F$9*30/365,2)</f>
        <v>0</v>
      </c>
      <c r="G74" s="269">
        <f t="shared" si="1"/>
        <v>0</v>
      </c>
      <c r="H74" s="269"/>
      <c r="I74" s="124"/>
      <c r="J74" s="124"/>
      <c r="K74" s="132">
        <f>Лист2!A66</f>
        <v>0</v>
      </c>
    </row>
    <row r="75" spans="1:11" ht="13.8" hidden="1" thickBot="1" x14ac:dyDescent="0.3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0</v>
      </c>
      <c r="E75" s="168">
        <f>IF(B75&lt;=$F$15,(E$17*(VLOOKUP($H$2,Лист2!$A:$N,12,0)-(B75-1)*VLOOKUP($H$2,Лист2!$A:$N,13,0))),0)</f>
        <v>0</v>
      </c>
      <c r="F75" s="169">
        <f>ROUND((E$17-SUM(D$29:D74))*F$9*30/365,2)</f>
        <v>0</v>
      </c>
      <c r="G75" s="269">
        <f t="shared" si="1"/>
        <v>0</v>
      </c>
      <c r="H75" s="269"/>
      <c r="I75" s="124"/>
      <c r="J75" s="124"/>
      <c r="K75" s="132">
        <f>Лист2!A67</f>
        <v>0</v>
      </c>
    </row>
    <row r="76" spans="1:11" ht="13.8" hidden="1" thickBot="1" x14ac:dyDescent="0.3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0</v>
      </c>
      <c r="E76" s="168">
        <f>IF(B76&lt;=$F$15,(E$17*(VLOOKUP($H$2,Лист2!$A:$N,12,0)-(B76-1)*VLOOKUP($H$2,Лист2!$A:$N,13,0))),0)</f>
        <v>0</v>
      </c>
      <c r="F76" s="169">
        <f>ROUND((E$17-SUM(D$29:D75))*F$9*30/365,2)</f>
        <v>0</v>
      </c>
      <c r="G76" s="269">
        <f t="shared" si="1"/>
        <v>0</v>
      </c>
      <c r="H76" s="269"/>
      <c r="I76" s="124"/>
      <c r="J76" s="124"/>
      <c r="K76" s="132">
        <f>Лист2!A68</f>
        <v>0</v>
      </c>
    </row>
    <row r="77" spans="1:11" ht="13.8" hidden="1" thickBot="1" x14ac:dyDescent="0.3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  <c r="K77" s="132">
        <f>Лист2!A69</f>
        <v>0</v>
      </c>
    </row>
    <row r="78" spans="1:11" ht="13.8" hidden="1" thickBot="1" x14ac:dyDescent="0.3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  <c r="K78" s="132">
        <f>Лист2!A70</f>
        <v>0</v>
      </c>
    </row>
    <row r="79" spans="1:11" ht="13.8" hidden="1" thickBot="1" x14ac:dyDescent="0.3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  <c r="K79" s="132">
        <f>Лист2!A71</f>
        <v>0</v>
      </c>
    </row>
    <row r="80" spans="1:11" ht="13.8" hidden="1" thickBot="1" x14ac:dyDescent="0.3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  <c r="K80" s="132">
        <f>Лист2!A72</f>
        <v>0</v>
      </c>
    </row>
    <row r="81" spans="1:11" ht="13.8" hidden="1" thickBot="1" x14ac:dyDescent="0.3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  <c r="K81" s="132">
        <f>Лист2!A73</f>
        <v>0</v>
      </c>
    </row>
    <row r="82" spans="1:11" ht="13.8" hidden="1" thickBot="1" x14ac:dyDescent="0.3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  <c r="K82" s="132">
        <f>Лист2!A74</f>
        <v>0</v>
      </c>
    </row>
    <row r="83" spans="1:11" ht="13.8" hidden="1" thickBot="1" x14ac:dyDescent="0.3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  <c r="K83" s="132">
        <f>Лист2!A75</f>
        <v>0</v>
      </c>
    </row>
    <row r="84" spans="1:11" ht="13.8" hidden="1" thickBot="1" x14ac:dyDescent="0.3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  <c r="K84" s="132">
        <f>Лист2!A76</f>
        <v>0</v>
      </c>
    </row>
    <row r="85" spans="1:11" ht="13.8" hidden="1" thickBot="1" x14ac:dyDescent="0.3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  <c r="K85" s="132">
        <f>Лист2!A77</f>
        <v>0</v>
      </c>
    </row>
    <row r="86" spans="1:11" ht="13.8" hidden="1" thickBot="1" x14ac:dyDescent="0.3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  <c r="K86" s="132">
        <f>Лист2!A78</f>
        <v>0</v>
      </c>
    </row>
    <row r="87" spans="1:11" ht="13.8" hidden="1" thickBot="1" x14ac:dyDescent="0.3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  <c r="K87" s="132">
        <f>Лист2!A79</f>
        <v>0</v>
      </c>
    </row>
    <row r="88" spans="1:11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  <c r="K88" s="132">
        <f>Лист2!A80</f>
        <v>0</v>
      </c>
    </row>
    <row r="89" spans="1:11" ht="16.2" thickBot="1" x14ac:dyDescent="0.3">
      <c r="A89" s="59"/>
      <c r="B89" s="261" t="s">
        <v>1</v>
      </c>
      <c r="C89" s="262"/>
      <c r="D89" s="174">
        <f>SUM(D29:D88)</f>
        <v>12400</v>
      </c>
      <c r="E89" s="174">
        <f>SUM(E29:E88)</f>
        <v>16472.159999999996</v>
      </c>
      <c r="F89" s="174">
        <f>SUM(F29:F88)</f>
        <v>1.8900000000000006</v>
      </c>
      <c r="G89" s="263">
        <f>SUM(G29:H88)</f>
        <v>28874.050000000017</v>
      </c>
      <c r="H89" s="264"/>
      <c r="I89" s="124"/>
      <c r="J89" s="124"/>
    </row>
    <row r="90" spans="1:11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1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1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1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1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1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1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$K$60:$K$64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7030A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VLOOKUP('Смарт Фінанс'!H2,Лист2!A:N,14,FALSE)</f>
        <v>1000</v>
      </c>
      <c r="F2" s="118">
        <f>VLOOKUP(H$2,Лист2!$A:$G,2,0)</f>
        <v>80645</v>
      </c>
      <c r="G2" s="135">
        <f ca="1">TODAY()</f>
        <v>44089</v>
      </c>
      <c r="H2" s="286" t="s">
        <v>60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80645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80645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80645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99999.8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1E-4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0.24</v>
      </c>
      <c r="G11" s="273"/>
      <c r="H11" s="273"/>
      <c r="I11" s="3"/>
      <c r="J11" s="53"/>
      <c r="K11" s="132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4.3999999999999997E-2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36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19354.8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99999.8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7178.1916829236106</v>
      </c>
      <c r="G18" s="277"/>
      <c r="H18" s="278"/>
      <c r="I18" s="123"/>
      <c r="J18" s="54"/>
      <c r="K18" s="132" t="e">
        <f>Лист2!#REF!</f>
        <v>#REF!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e">
        <f>Лист2!#REF!</f>
        <v>#REF!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177769.6932000001</v>
      </c>
      <c r="G20" s="279"/>
      <c r="H20" s="279"/>
      <c r="I20" s="1"/>
      <c r="J20" s="55"/>
      <c r="K20" s="132" t="str">
        <f>Лист2!A10</f>
        <v>Термін, 36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Лист2!A11</f>
        <v>Термін, 30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258414.6932000001</v>
      </c>
      <c r="G22" s="273"/>
      <c r="H22" s="273"/>
      <c r="I22" s="1"/>
      <c r="J22" s="55"/>
      <c r="K22" s="132" t="str">
        <f>Лист2!A12</f>
        <v>Термін, 24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Лист2!A13</f>
        <v>Термін, 18 міс. (ПУМБ)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1.6399412989616395</v>
      </c>
      <c r="G24" s="159"/>
      <c r="H24" s="22"/>
      <c r="I24" s="1"/>
      <c r="J24" s="1"/>
      <c r="K24" s="132" t="str">
        <f>Лист2!A14</f>
        <v>Термін, 12 міс. (ПУМБ)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e">
        <f>Лист2!#REF!</f>
        <v>#REF!</v>
      </c>
    </row>
    <row r="27" spans="1:29" ht="31.2" customHeight="1" thickBot="1" x14ac:dyDescent="0.3">
      <c r="A27" s="1"/>
      <c r="B27" s="157" t="s">
        <v>39</v>
      </c>
      <c r="C27" s="157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e">
        <f>Лист2!#REF!</f>
        <v>#REF!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-80645</v>
      </c>
      <c r="H28" s="272"/>
      <c r="I28" s="3"/>
      <c r="K28" s="132" t="str">
        <f>Лист2!A15</f>
        <v>Термін, 36 міс. (ПУМБ БК)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2777.380482923611</v>
      </c>
      <c r="E29" s="166">
        <f>IF(B29&lt;=$F$15,(E$17*(VLOOKUP($H$2,Лист2!$A:$N,12,0)-(B29-1)*VLOOKUP($H$2,Лист2!$A:$N,13,0))),0)</f>
        <v>4399.9911999999995</v>
      </c>
      <c r="F29" s="166">
        <f>ROUND(E$17*F$9*30/365,2)</f>
        <v>0.82</v>
      </c>
      <c r="G29" s="269">
        <f>SUM(D29:F29)</f>
        <v>7178.1916829236106</v>
      </c>
      <c r="H29" s="269"/>
      <c r="I29" s="3"/>
      <c r="K29" s="132" t="str">
        <f>Лист2!A16</f>
        <v>Термін, 30 міс. (ПУМБ БК)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2777.400482923611</v>
      </c>
      <c r="E30" s="168">
        <f>IF(B30&lt;=$F$15,(E$17*(VLOOKUP($H$2,Лист2!$A:$N,12,0)-(B30-1)*VLOOKUP($H$2,Лист2!$A:$N,13,0))),0)</f>
        <v>4399.9911999999995</v>
      </c>
      <c r="F30" s="169">
        <f>ROUND((E$17-SUM(D$29:D29))*F$9*30/365,2)</f>
        <v>0.8</v>
      </c>
      <c r="G30" s="269">
        <f t="shared" ref="G30:G88" si="1">SUM(D30:F30)</f>
        <v>7178.1916829236106</v>
      </c>
      <c r="H30" s="269"/>
      <c r="I30" s="3"/>
      <c r="K30" s="132" t="str">
        <f>Лист2!A17</f>
        <v>Термін, 24 міс. (ПУМБ БК)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2777.420482923611</v>
      </c>
      <c r="E31" s="168">
        <f>IF(B31&lt;=$F$15,(E$17*(VLOOKUP($H$2,Лист2!$A:$N,12,0)-(B31-1)*VLOOKUP($H$2,Лист2!$A:$N,13,0))),0)</f>
        <v>4399.9911999999995</v>
      </c>
      <c r="F31" s="169">
        <f>ROUND((E$17-SUM(D$29:D30))*F$9*30/365,2)</f>
        <v>0.78</v>
      </c>
      <c r="G31" s="269">
        <f t="shared" si="1"/>
        <v>7178.1916829236097</v>
      </c>
      <c r="H31" s="269"/>
      <c r="I31" s="3"/>
      <c r="K31" s="132" t="str">
        <f>Лист2!A18</f>
        <v>Термін, 18 міс. (ПУМБ БК)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2777.4504829236112</v>
      </c>
      <c r="E32" s="168">
        <f>IF(B32&lt;=$F$15,(E$17*(VLOOKUP($H$2,Лист2!$A:$N,12,0)-(B32-1)*VLOOKUP($H$2,Лист2!$A:$N,13,0))),0)</f>
        <v>4399.9911999999995</v>
      </c>
      <c r="F32" s="169">
        <f>ROUND((E$17-SUM(D$29:D31))*F$9*30/365,2)</f>
        <v>0.75</v>
      </c>
      <c r="G32" s="269">
        <f t="shared" si="1"/>
        <v>7178.1916829236106</v>
      </c>
      <c r="H32" s="269"/>
      <c r="I32" s="3"/>
      <c r="K32" s="132" t="str">
        <f>Лист2!A19</f>
        <v>Термін, 12 міс. (ПУМБ БК)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2777.4704829236111</v>
      </c>
      <c r="E33" s="168">
        <f>IF(B33&lt;=$F$15,(E$17*(VLOOKUP($H$2,Лист2!$A:$N,12,0)-(B33-1)*VLOOKUP($H$2,Лист2!$A:$N,13,0))),0)</f>
        <v>4399.9911999999995</v>
      </c>
      <c r="F33" s="169">
        <f>ROUND((E$17-SUM(D$29:D32))*F$9*30/365,2)</f>
        <v>0.73</v>
      </c>
      <c r="G33" s="269">
        <f t="shared" si="1"/>
        <v>7178.1916829236106</v>
      </c>
      <c r="H33" s="269"/>
      <c r="I33" s="3"/>
      <c r="K33" s="132" t="e">
        <f>Лист2!#REF!</f>
        <v>#REF!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2777.4904829236111</v>
      </c>
      <c r="E34" s="168">
        <f>IF(B34&lt;=$F$15,(E$17*(VLOOKUP($H$2,Лист2!$A:$N,12,0)-(B34-1)*VLOOKUP($H$2,Лист2!$A:$N,13,0))),0)</f>
        <v>4399.9911999999995</v>
      </c>
      <c r="F34" s="169">
        <f>ROUND((E$17-SUM(D$29:D33))*F$9*30/365,2)</f>
        <v>0.71</v>
      </c>
      <c r="G34" s="269">
        <f t="shared" si="1"/>
        <v>7178.1916829236106</v>
      </c>
      <c r="H34" s="269"/>
      <c r="I34" s="3"/>
      <c r="K34" s="132" t="e">
        <f>Лист2!#REF!</f>
        <v>#REF!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2777.5204829236113</v>
      </c>
      <c r="E35" s="168">
        <f>IF(B35&lt;=$F$15,(E$17*(VLOOKUP($H$2,Лист2!$A:$N,12,0)-(B35-1)*VLOOKUP($H$2,Лист2!$A:$N,13,0))),0)</f>
        <v>4399.9911999999995</v>
      </c>
      <c r="F35" s="169">
        <f>ROUND((E$17-SUM(D$29:D34))*F$9*30/365,2)</f>
        <v>0.68</v>
      </c>
      <c r="G35" s="269">
        <f t="shared" si="1"/>
        <v>7178.1916829236106</v>
      </c>
      <c r="H35" s="269"/>
      <c r="I35" s="3"/>
      <c r="K35" s="132" t="e">
        <f>Лист2!#REF!</f>
        <v>#REF!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2777.5404829236113</v>
      </c>
      <c r="E36" s="168">
        <f>IF(B36&lt;=$F$15,(E$17*(VLOOKUP($H$2,Лист2!$A:$N,12,0)-(B36-1)*VLOOKUP($H$2,Лист2!$A:$N,13,0))),0)</f>
        <v>4399.9911999999995</v>
      </c>
      <c r="F36" s="169">
        <f>ROUND((E$17-SUM(D$29:D35))*F$9*30/365,2)</f>
        <v>0.66</v>
      </c>
      <c r="G36" s="269">
        <f t="shared" si="1"/>
        <v>7178.1916829236106</v>
      </c>
      <c r="H36" s="269"/>
      <c r="I36" s="3"/>
      <c r="K36" s="132" t="e">
        <f>Лист2!#REF!</f>
        <v>#REF!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2777.5604829236113</v>
      </c>
      <c r="E37" s="168">
        <f>IF(B37&lt;=$F$15,(E$17*(VLOOKUP($H$2,Лист2!$A:$N,12,0)-(B37-1)*VLOOKUP($H$2,Лист2!$A:$N,13,0))),0)</f>
        <v>4399.9911999999995</v>
      </c>
      <c r="F37" s="169">
        <f>ROUND((E$17-SUM(D$29:D36))*F$9*30/365,2)</f>
        <v>0.64</v>
      </c>
      <c r="G37" s="269">
        <f t="shared" si="1"/>
        <v>7178.1916829236116</v>
      </c>
      <c r="H37" s="269"/>
      <c r="I37" s="3"/>
      <c r="K37" s="132" t="e">
        <f>Лист2!#REF!</f>
        <v>#REF!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2777.5804829236113</v>
      </c>
      <c r="E38" s="168">
        <f>IF(B38&lt;=$F$15,(E$17*(VLOOKUP($H$2,Лист2!$A:$N,12,0)-(B38-1)*VLOOKUP($H$2,Лист2!$A:$N,13,0))),0)</f>
        <v>4399.9911999999995</v>
      </c>
      <c r="F38" s="169">
        <f>ROUND((E$17-SUM(D$29:D37))*F$9*30/365,2)</f>
        <v>0.62</v>
      </c>
      <c r="G38" s="269">
        <f t="shared" si="1"/>
        <v>7178.1916829236106</v>
      </c>
      <c r="H38" s="269"/>
      <c r="I38" s="3"/>
      <c r="K38" s="132" t="e">
        <f>Лист2!#REF!</f>
        <v>#REF!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2777.610482923611</v>
      </c>
      <c r="E39" s="168">
        <f>IF(B39&lt;=$F$15,(E$17*(VLOOKUP($H$2,Лист2!$A:$N,12,0)-(B39-1)*VLOOKUP($H$2,Лист2!$A:$N,13,0))),0)</f>
        <v>4399.9911999999995</v>
      </c>
      <c r="F39" s="169">
        <f>ROUND((E$17-SUM(D$29:D38))*F$9*30/365,2)</f>
        <v>0.59</v>
      </c>
      <c r="G39" s="269">
        <f t="shared" si="1"/>
        <v>7178.1916829236106</v>
      </c>
      <c r="H39" s="269"/>
      <c r="I39" s="3"/>
      <c r="K39" s="132" t="e">
        <f>Лист2!#REF!</f>
        <v>#REF!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2777.630482923611</v>
      </c>
      <c r="E40" s="168">
        <f>IF(B40&lt;=$F$15,(E$17*(VLOOKUP($H$2,Лист2!$A:$N,12,0)-(B40-1)*VLOOKUP($H$2,Лист2!$A:$N,13,0))),0)</f>
        <v>4399.9911999999995</v>
      </c>
      <c r="F40" s="169">
        <f>ROUND((E$17-SUM(D$29:D39))*F$9*30/365,2)</f>
        <v>0.56999999999999995</v>
      </c>
      <c r="G40" s="269">
        <f t="shared" si="1"/>
        <v>7178.1916829236106</v>
      </c>
      <c r="H40" s="269"/>
      <c r="I40" s="3"/>
      <c r="K40" s="132" t="str">
        <f>Лист2!A20</f>
        <v>Термін, 36 міс. (СФ)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2777.650482923611</v>
      </c>
      <c r="E41" s="168">
        <f>IF(B41&lt;=$F$15,(E$17*(VLOOKUP($H$2,Лист2!$A:$N,12,0)-(B41-1)*VLOOKUP($H$2,Лист2!$A:$N,13,0))),0)</f>
        <v>4399.9911999999995</v>
      </c>
      <c r="F41" s="169">
        <f>ROUND((E$17-SUM(D$29:D40))*F$9*30/365,2)</f>
        <v>0.55000000000000004</v>
      </c>
      <c r="G41" s="269">
        <f t="shared" si="1"/>
        <v>7178.1916829236106</v>
      </c>
      <c r="H41" s="269"/>
      <c r="I41" s="3"/>
      <c r="K41" s="132" t="str">
        <f>Лист2!A21</f>
        <v>Термін, 24 міс. (СФ)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2777.670482923611</v>
      </c>
      <c r="E42" s="168">
        <f>IF(B42&lt;=$F$15,(E$17*(VLOOKUP($H$2,Лист2!$A:$N,12,0)-(B42-1)*VLOOKUP($H$2,Лист2!$A:$N,13,0))),0)</f>
        <v>4399.9911999999995</v>
      </c>
      <c r="F42" s="169">
        <f>ROUND((E$17-SUM(D$29:D41))*F$9*30/365,2)</f>
        <v>0.53</v>
      </c>
      <c r="G42" s="269">
        <f t="shared" si="1"/>
        <v>7178.1916829236097</v>
      </c>
      <c r="H42" s="269"/>
      <c r="I42" s="3"/>
      <c r="K42" s="132" t="str">
        <f>Лист2!A22</f>
        <v>Термін, 18 міс. (СФ)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2777.7004829236112</v>
      </c>
      <c r="E43" s="168">
        <f>IF(B43&lt;=$F$15,(E$17*(VLOOKUP($H$2,Лист2!$A:$N,12,0)-(B43-1)*VLOOKUP($H$2,Лист2!$A:$N,13,0))),0)</f>
        <v>4399.9911999999995</v>
      </c>
      <c r="F43" s="169">
        <f>ROUND((E$17-SUM(D$29:D42))*F$9*30/365,2)</f>
        <v>0.5</v>
      </c>
      <c r="G43" s="269">
        <f t="shared" si="1"/>
        <v>7178.1916829236106</v>
      </c>
      <c r="H43" s="269"/>
      <c r="I43" s="3"/>
      <c r="K43" s="132" t="str">
        <f>Лист2!A23</f>
        <v>Термін, 12 міс. (СФ)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2777.7204829236111</v>
      </c>
      <c r="E44" s="168">
        <f>IF(B44&lt;=$F$15,(E$17*(VLOOKUP($H$2,Лист2!$A:$N,12,0)-(B44-1)*VLOOKUP($H$2,Лист2!$A:$N,13,0))),0)</f>
        <v>4399.9911999999995</v>
      </c>
      <c r="F44" s="169">
        <f>ROUND((E$17-SUM(D$29:D43))*F$9*30/365,2)</f>
        <v>0.48</v>
      </c>
      <c r="G44" s="269">
        <f t="shared" si="1"/>
        <v>7178.1916829236106</v>
      </c>
      <c r="H44" s="269"/>
      <c r="I44" s="3"/>
      <c r="K44" s="132"/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2777.7404829236111</v>
      </c>
      <c r="E45" s="168">
        <f>IF(B45&lt;=$F$15,(E$17*(VLOOKUP($H$2,Лист2!$A:$N,12,0)-(B45-1)*VLOOKUP($H$2,Лист2!$A:$N,13,0))),0)</f>
        <v>4399.9911999999995</v>
      </c>
      <c r="F45" s="169">
        <f>ROUND((E$17-SUM(D$29:D44))*F$9*30/365,2)</f>
        <v>0.46</v>
      </c>
      <c r="G45" s="269">
        <f t="shared" si="1"/>
        <v>7178.1916829236106</v>
      </c>
      <c r="H45" s="269"/>
      <c r="I45" s="3"/>
      <c r="K45" s="132"/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2777.7704829236113</v>
      </c>
      <c r="E46" s="168">
        <f>IF(B46&lt;=$F$15,(E$17*(VLOOKUP($H$2,Лист2!$A:$N,12,0)-(B46-1)*VLOOKUP($H$2,Лист2!$A:$N,13,0))),0)</f>
        <v>4399.9911999999995</v>
      </c>
      <c r="F46" s="169">
        <f>ROUND((E$17-SUM(D$29:D45))*F$9*30/365,2)</f>
        <v>0.43</v>
      </c>
      <c r="G46" s="269">
        <f t="shared" si="1"/>
        <v>7178.1916829236106</v>
      </c>
      <c r="H46" s="269"/>
      <c r="I46" s="3"/>
      <c r="K46" s="132"/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2777.7904829236113</v>
      </c>
      <c r="E47" s="168">
        <f>IF(B47&lt;=$F$15,(E$17*(VLOOKUP($H$2,Лист2!$A:$N,12,0)-(B47-1)*VLOOKUP($H$2,Лист2!$A:$N,13,0))),0)</f>
        <v>4399.9911999999995</v>
      </c>
      <c r="F47" s="169">
        <f>ROUND((E$17-SUM(D$29:D46))*F$9*30/365,2)</f>
        <v>0.41</v>
      </c>
      <c r="G47" s="269">
        <f t="shared" si="1"/>
        <v>7178.1916829236106</v>
      </c>
      <c r="H47" s="269"/>
      <c r="I47" s="3"/>
      <c r="K47" s="132"/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2777.8104829236113</v>
      </c>
      <c r="E48" s="168">
        <f>IF(B48&lt;=$F$15,(E$17*(VLOOKUP($H$2,Лист2!$A:$N,12,0)-(B48-1)*VLOOKUP($H$2,Лист2!$A:$N,13,0))),0)</f>
        <v>4399.9911999999995</v>
      </c>
      <c r="F48" s="169">
        <f>ROUND((E$17-SUM(D$29:D47))*F$9*30/365,2)</f>
        <v>0.39</v>
      </c>
      <c r="G48" s="269">
        <f t="shared" si="1"/>
        <v>7178.1916829236116</v>
      </c>
      <c r="H48" s="269"/>
      <c r="I48" s="3"/>
      <c r="K48" s="132"/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2777.8304829236113</v>
      </c>
      <c r="E49" s="168">
        <f>IF(B49&lt;=$F$15,(E$17*(VLOOKUP($H$2,Лист2!$A:$N,12,0)-(B49-1)*VLOOKUP($H$2,Лист2!$A:$N,13,0))),0)</f>
        <v>4399.9911999999995</v>
      </c>
      <c r="F49" s="169">
        <f>ROUND((E$17-SUM(D$29:D48))*F$9*30/365,2)</f>
        <v>0.37</v>
      </c>
      <c r="G49" s="269">
        <f t="shared" si="1"/>
        <v>7178.1916829236106</v>
      </c>
      <c r="H49" s="269"/>
      <c r="I49" s="3"/>
      <c r="K49" s="132"/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2777.860482923611</v>
      </c>
      <c r="E50" s="168">
        <f>IF(B50&lt;=$F$15,(E$17*(VLOOKUP($H$2,Лист2!$A:$N,12,0)-(B50-1)*VLOOKUP($H$2,Лист2!$A:$N,13,0))),0)</f>
        <v>4399.9911999999995</v>
      </c>
      <c r="F50" s="169">
        <f>ROUND((E$17-SUM(D$29:D49))*F$9*30/365,2)</f>
        <v>0.34</v>
      </c>
      <c r="G50" s="269">
        <f t="shared" si="1"/>
        <v>7178.1916829236106</v>
      </c>
      <c r="H50" s="269"/>
      <c r="I50" s="3"/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2777.880482923611</v>
      </c>
      <c r="E51" s="168">
        <f>IF(B51&lt;=$F$15,(E$17*(VLOOKUP($H$2,Лист2!$A:$N,12,0)-(B51-1)*VLOOKUP($H$2,Лист2!$A:$N,13,0))),0)</f>
        <v>4399.9911999999995</v>
      </c>
      <c r="F51" s="169">
        <f>ROUND((E$17-SUM(D$29:D50))*F$9*30/365,2)</f>
        <v>0.32</v>
      </c>
      <c r="G51" s="269">
        <f t="shared" si="1"/>
        <v>7178.1916829236106</v>
      </c>
      <c r="H51" s="269"/>
      <c r="I51" s="3"/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2777.900482923611</v>
      </c>
      <c r="E52" s="168">
        <f>IF(B52&lt;=$F$15,(E$17*(VLOOKUP($H$2,Лист2!$A:$N,12,0)-(B52-1)*VLOOKUP($H$2,Лист2!$A:$N,13,0))),0)</f>
        <v>4399.9911999999995</v>
      </c>
      <c r="F52" s="169">
        <f>ROUND((E$17-SUM(D$29:D51))*F$9*30/365,2)</f>
        <v>0.3</v>
      </c>
      <c r="G52" s="269">
        <f t="shared" si="1"/>
        <v>7178.1916829236106</v>
      </c>
      <c r="H52" s="269"/>
      <c r="I52" s="3"/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2777.9304829236112</v>
      </c>
      <c r="E53" s="168">
        <f>IF(B53&lt;=$F$15,(E$17*(VLOOKUP($H$2,Лист2!$A:$N,12,0)-(B53-1)*VLOOKUP($H$2,Лист2!$A:$N,13,0))),0)</f>
        <v>4399.9911999999995</v>
      </c>
      <c r="F53" s="169">
        <f>ROUND((E$17-SUM(D$29:D52))*F$9*30/365,2)</f>
        <v>0.27</v>
      </c>
      <c r="G53" s="269">
        <f t="shared" si="1"/>
        <v>7178.1916829236106</v>
      </c>
      <c r="H53" s="269"/>
      <c r="I53" s="3"/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2777.9504829236112</v>
      </c>
      <c r="E54" s="168">
        <f>IF(B54&lt;=$F$15,(E$17*(VLOOKUP($H$2,Лист2!$A:$N,12,0)-(B54-1)*VLOOKUP($H$2,Лист2!$A:$N,13,0))),0)</f>
        <v>4399.9911999999995</v>
      </c>
      <c r="F54" s="169">
        <f>ROUND((E$17-SUM(D$29:D53))*F$9*30/365,2)</f>
        <v>0.25</v>
      </c>
      <c r="G54" s="269">
        <f t="shared" si="1"/>
        <v>7178.1916829236106</v>
      </c>
      <c r="H54" s="269"/>
      <c r="I54" s="3"/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2777.9704829236111</v>
      </c>
      <c r="E55" s="168">
        <f>IF(B55&lt;=$F$15,(E$17*(VLOOKUP($H$2,Лист2!$A:$N,12,0)-(B55-1)*VLOOKUP($H$2,Лист2!$A:$N,13,0))),0)</f>
        <v>4399.9911999999995</v>
      </c>
      <c r="F55" s="169">
        <f>ROUND((E$17-SUM(D$29:D54))*F$9*30/365,2)</f>
        <v>0.23</v>
      </c>
      <c r="G55" s="269">
        <f t="shared" si="1"/>
        <v>7178.1916829236106</v>
      </c>
      <c r="H55" s="269"/>
      <c r="I55" s="3"/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2777.9904829236111</v>
      </c>
      <c r="E56" s="168">
        <f>IF(B56&lt;=$F$15,(E$17*(VLOOKUP($H$2,Лист2!$A:$N,12,0)-(B56-1)*VLOOKUP($H$2,Лист2!$A:$N,13,0))),0)</f>
        <v>4399.9911999999995</v>
      </c>
      <c r="F56" s="169">
        <f>ROUND((E$17-SUM(D$29:D55))*F$9*30/365,2)</f>
        <v>0.21</v>
      </c>
      <c r="G56" s="269">
        <f t="shared" si="1"/>
        <v>7178.1916829236106</v>
      </c>
      <c r="H56" s="269"/>
      <c r="I56" s="3"/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2778.0204829236113</v>
      </c>
      <c r="E57" s="168">
        <f>IF(B57&lt;=$F$15,(E$17*(VLOOKUP($H$2,Лист2!$A:$N,12,0)-(B57-1)*VLOOKUP($H$2,Лист2!$A:$N,13,0))),0)</f>
        <v>4399.9911999999995</v>
      </c>
      <c r="F57" s="169">
        <f>ROUND((E$17-SUM(D$29:D56))*F$9*30/365,2)</f>
        <v>0.18</v>
      </c>
      <c r="G57" s="269">
        <f t="shared" si="1"/>
        <v>7178.1916829236106</v>
      </c>
      <c r="H57" s="269"/>
      <c r="I57" s="3"/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2778.0404829236113</v>
      </c>
      <c r="E58" s="168">
        <f>IF(B58&lt;=$F$15,(E$17*(VLOOKUP($H$2,Лист2!$A:$N,12,0)-(B58-1)*VLOOKUP($H$2,Лист2!$A:$N,13,0))),0)</f>
        <v>4399.9911999999995</v>
      </c>
      <c r="F58" s="169">
        <f>ROUND((E$17-SUM(D$29:D57))*F$9*30/365,2)</f>
        <v>0.16</v>
      </c>
      <c r="G58" s="269">
        <f t="shared" si="1"/>
        <v>7178.1916829236106</v>
      </c>
      <c r="H58" s="269"/>
      <c r="I58" s="124"/>
      <c r="J58" s="124"/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2778.0604829236113</v>
      </c>
      <c r="E59" s="168">
        <f>IF(B59&lt;=$F$15,(E$17*(VLOOKUP($H$2,Лист2!$A:$N,12,0)-(B59-1)*VLOOKUP($H$2,Лист2!$A:$N,13,0))),0)</f>
        <v>4399.9911999999995</v>
      </c>
      <c r="F59" s="169">
        <f>ROUND((E$17-SUM(D$29:D58))*F$9*30/365,2)</f>
        <v>0.14000000000000001</v>
      </c>
      <c r="G59" s="269">
        <f t="shared" si="1"/>
        <v>7178.1916829236116</v>
      </c>
      <c r="H59" s="269"/>
      <c r="I59" s="124"/>
      <c r="J59" s="124"/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2778.090482923611</v>
      </c>
      <c r="E60" s="168">
        <f>IF(B60&lt;=$F$15,(E$17*(VLOOKUP($H$2,Лист2!$A:$N,12,0)-(B60-1)*VLOOKUP($H$2,Лист2!$A:$N,13,0))),0)</f>
        <v>4399.9911999999995</v>
      </c>
      <c r="F60" s="169">
        <f>ROUND((E$17-SUM(D$29:D59))*F$9*30/365,2)</f>
        <v>0.11</v>
      </c>
      <c r="G60" s="269">
        <f t="shared" si="1"/>
        <v>7178.1916829236097</v>
      </c>
      <c r="H60" s="269"/>
      <c r="I60" s="124"/>
      <c r="J60" s="124"/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2778.110482923611</v>
      </c>
      <c r="E61" s="168">
        <f>IF(B61&lt;=$F$15,(E$17*(VLOOKUP($H$2,Лист2!$A:$N,12,0)-(B61-1)*VLOOKUP($H$2,Лист2!$A:$N,13,0))),0)</f>
        <v>4399.9911999999995</v>
      </c>
      <c r="F61" s="169">
        <f>ROUND((E$17-SUM(D$29:D60))*F$9*30/365,2)</f>
        <v>0.09</v>
      </c>
      <c r="G61" s="269">
        <f t="shared" si="1"/>
        <v>7178.1916829236106</v>
      </c>
      <c r="H61" s="269"/>
      <c r="I61" s="124"/>
      <c r="J61" s="124"/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2778.130482923611</v>
      </c>
      <c r="E62" s="168">
        <f>IF(B62&lt;=$F$15,(E$17*(VLOOKUP($H$2,Лист2!$A:$N,12,0)-(B62-1)*VLOOKUP($H$2,Лист2!$A:$N,13,0))),0)</f>
        <v>4399.9911999999995</v>
      </c>
      <c r="F62" s="169">
        <f>ROUND((E$17-SUM(D$29:D61))*F$9*30/365,2)</f>
        <v>7.0000000000000007E-2</v>
      </c>
      <c r="G62" s="269">
        <f t="shared" si="1"/>
        <v>7178.1916829236106</v>
      </c>
      <c r="H62" s="269"/>
      <c r="I62" s="124"/>
      <c r="J62" s="124"/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2778.150482923611</v>
      </c>
      <c r="E63" s="168">
        <f>IF(B63&lt;=$F$15,(E$17*(VLOOKUP($H$2,Лист2!$A:$N,12,0)-(B63-1)*VLOOKUP($H$2,Лист2!$A:$N,13,0))),0)</f>
        <v>4399.9911999999995</v>
      </c>
      <c r="F63" s="169">
        <f>ROUND((E$17-SUM(D$29:D62))*F$9*30/365,2)</f>
        <v>0.05</v>
      </c>
      <c r="G63" s="269">
        <f t="shared" si="1"/>
        <v>7178.1916829236106</v>
      </c>
      <c r="H63" s="269"/>
      <c r="I63" s="124"/>
      <c r="J63" s="124"/>
    </row>
    <row r="64" spans="1:11" ht="13.8" thickBot="1" x14ac:dyDescent="0.3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2777.9730976736173</v>
      </c>
      <c r="E64" s="168">
        <f>IF(B64&lt;=$F$15,(E$17*(VLOOKUP($H$2,Лист2!$A:$N,12,0)-(B64-1)*VLOOKUP($H$2,Лист2!$A:$N,13,0))),0)</f>
        <v>4399.9911999999995</v>
      </c>
      <c r="F64" s="169">
        <f>ROUND((E$17-SUM(D$29:D63))*F$9*30/365,2)</f>
        <v>0.02</v>
      </c>
      <c r="G64" s="269">
        <f t="shared" si="1"/>
        <v>7177.9842976736172</v>
      </c>
      <c r="H64" s="269"/>
      <c r="I64" s="124"/>
      <c r="J64" s="124"/>
    </row>
    <row r="65" spans="1:10" hidden="1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0</v>
      </c>
      <c r="E65" s="168">
        <f>IF(B65&lt;=$F$15,(E$17*(VLOOKUP($H$2,Лист2!$A:$N,12,0)-(B65-1)*VLOOKUP($H$2,Лист2!$A:$N,13,0))),0)</f>
        <v>0</v>
      </c>
      <c r="F65" s="169">
        <f>ROUND((E$17-SUM(D$29:D64))*F$9*30/365,2)</f>
        <v>0</v>
      </c>
      <c r="G65" s="269">
        <f t="shared" si="1"/>
        <v>0</v>
      </c>
      <c r="H65" s="269"/>
      <c r="I65" s="124"/>
      <c r="J65" s="124"/>
    </row>
    <row r="66" spans="1:10" hidden="1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0</v>
      </c>
      <c r="E66" s="168">
        <f>IF(B66&lt;=$F$15,(E$17*(VLOOKUP($H$2,Лист2!$A:$N,12,0)-(B66-1)*VLOOKUP($H$2,Лист2!$A:$N,13,0))),0)</f>
        <v>0</v>
      </c>
      <c r="F66" s="169">
        <f>ROUND((E$17-SUM(D$29:D65))*F$9*30/365,2)</f>
        <v>0</v>
      </c>
      <c r="G66" s="269">
        <f t="shared" si="1"/>
        <v>0</v>
      </c>
      <c r="H66" s="269"/>
      <c r="I66" s="124"/>
      <c r="J66" s="124"/>
    </row>
    <row r="67" spans="1:10" hidden="1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0</v>
      </c>
      <c r="E67" s="168">
        <f>IF(B67&lt;=$F$15,(E$17*(VLOOKUP($H$2,Лист2!$A:$N,12,0)-(B67-1)*VLOOKUP($H$2,Лист2!$A:$N,13,0))),0)</f>
        <v>0</v>
      </c>
      <c r="F67" s="169">
        <f>ROUND((E$17-SUM(D$29:D66))*F$9*30/365,2)</f>
        <v>0</v>
      </c>
      <c r="G67" s="269">
        <f t="shared" si="1"/>
        <v>0</v>
      </c>
      <c r="H67" s="269"/>
      <c r="I67" s="124"/>
      <c r="J67" s="124"/>
    </row>
    <row r="68" spans="1:10" hidden="1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0</v>
      </c>
      <c r="E68" s="168">
        <f>IF(B68&lt;=$F$15,(E$17*(VLOOKUP($H$2,Лист2!$A:$N,12,0)-(B68-1)*VLOOKUP($H$2,Лист2!$A:$N,13,0))),0)</f>
        <v>0</v>
      </c>
      <c r="F68" s="169">
        <f>ROUND((E$17-SUM(D$29:D67))*F$9*30/365,2)</f>
        <v>0</v>
      </c>
      <c r="G68" s="269">
        <f t="shared" si="1"/>
        <v>0</v>
      </c>
      <c r="H68" s="269"/>
      <c r="I68" s="124"/>
      <c r="J68" s="124"/>
    </row>
    <row r="69" spans="1:10" hidden="1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0</v>
      </c>
      <c r="E69" s="168">
        <f>IF(B69&lt;=$F$15,(E$17*(VLOOKUP($H$2,Лист2!$A:$N,12,0)-(B69-1)*VLOOKUP($H$2,Лист2!$A:$N,13,0))),0)</f>
        <v>0</v>
      </c>
      <c r="F69" s="169">
        <f>ROUND((E$17-SUM(D$29:D68))*F$9*30/365,2)</f>
        <v>0</v>
      </c>
      <c r="G69" s="269">
        <f t="shared" si="1"/>
        <v>0</v>
      </c>
      <c r="H69" s="269"/>
      <c r="I69" s="124"/>
      <c r="J69" s="124"/>
    </row>
    <row r="70" spans="1:10" hidden="1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0</v>
      </c>
      <c r="E70" s="168">
        <f>IF(B70&lt;=$F$15,(E$17*(VLOOKUP($H$2,Лист2!$A:$N,12,0)-(B70-1)*VLOOKUP($H$2,Лист2!$A:$N,13,0))),0)</f>
        <v>0</v>
      </c>
      <c r="F70" s="169">
        <f>ROUND((E$17-SUM(D$29:D69))*F$9*30/365,2)</f>
        <v>0</v>
      </c>
      <c r="G70" s="269">
        <f t="shared" si="1"/>
        <v>0</v>
      </c>
      <c r="H70" s="269"/>
      <c r="I70" s="124"/>
      <c r="J70" s="124"/>
    </row>
    <row r="71" spans="1:10" hidden="1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0</v>
      </c>
      <c r="E71" s="168">
        <f>IF(B71&lt;=$F$15,(E$17*(VLOOKUP($H$2,Лист2!$A:$N,12,0)-(B71-1)*VLOOKUP($H$2,Лист2!$A:$N,13,0))),0)</f>
        <v>0</v>
      </c>
      <c r="F71" s="169">
        <f>ROUND((E$17-SUM(D$29:D70))*F$9*30/365,2)</f>
        <v>0</v>
      </c>
      <c r="G71" s="269">
        <f t="shared" si="1"/>
        <v>0</v>
      </c>
      <c r="H71" s="269"/>
      <c r="I71" s="124"/>
      <c r="J71" s="124"/>
    </row>
    <row r="72" spans="1:10" hidden="1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0</v>
      </c>
      <c r="E72" s="168">
        <f>IF(B72&lt;=$F$15,(E$17*(VLOOKUP($H$2,Лист2!$A:$N,12,0)-(B72-1)*VLOOKUP($H$2,Лист2!$A:$N,13,0))),0)</f>
        <v>0</v>
      </c>
      <c r="F72" s="169">
        <f>ROUND((E$17-SUM(D$29:D71))*F$9*30/365,2)</f>
        <v>0</v>
      </c>
      <c r="G72" s="269">
        <f t="shared" si="1"/>
        <v>0</v>
      </c>
      <c r="H72" s="269"/>
      <c r="I72" s="124"/>
      <c r="J72" s="124"/>
    </row>
    <row r="73" spans="1:10" hidden="1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0</v>
      </c>
      <c r="E73" s="168">
        <f>IF(B73&lt;=$F$15,(E$17*(VLOOKUP($H$2,Лист2!$A:$N,12,0)-(B73-1)*VLOOKUP($H$2,Лист2!$A:$N,13,0))),0)</f>
        <v>0</v>
      </c>
      <c r="F73" s="169">
        <f>ROUND((E$17-SUM(D$29:D72))*F$9*30/365,2)</f>
        <v>0</v>
      </c>
      <c r="G73" s="269">
        <f t="shared" si="1"/>
        <v>0</v>
      </c>
      <c r="H73" s="269"/>
      <c r="I73" s="124"/>
      <c r="J73" s="124"/>
    </row>
    <row r="74" spans="1:10" hidden="1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0</v>
      </c>
      <c r="E74" s="168">
        <f>IF(B74&lt;=$F$15,(E$17*(VLOOKUP($H$2,Лист2!$A:$N,12,0)-(B74-1)*VLOOKUP($H$2,Лист2!$A:$N,13,0))),0)</f>
        <v>0</v>
      </c>
      <c r="F74" s="169">
        <f>ROUND((E$17-SUM(D$29:D73))*F$9*30/365,2)</f>
        <v>0</v>
      </c>
      <c r="G74" s="269">
        <f t="shared" si="1"/>
        <v>0</v>
      </c>
      <c r="H74" s="269"/>
      <c r="I74" s="124"/>
      <c r="J74" s="124"/>
    </row>
    <row r="75" spans="1:10" hidden="1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0</v>
      </c>
      <c r="E75" s="168">
        <f>IF(B75&lt;=$F$15,(E$17*(VLOOKUP($H$2,Лист2!$A:$N,12,0)-(B75-1)*VLOOKUP($H$2,Лист2!$A:$N,13,0))),0)</f>
        <v>0</v>
      </c>
      <c r="F75" s="169">
        <f>ROUND((E$17-SUM(D$29:D74))*F$9*30/365,2)</f>
        <v>0</v>
      </c>
      <c r="G75" s="269">
        <f t="shared" si="1"/>
        <v>0</v>
      </c>
      <c r="H75" s="269"/>
      <c r="I75" s="124"/>
      <c r="J75" s="124"/>
    </row>
    <row r="76" spans="1:10" hidden="1" x14ac:dyDescent="0.25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0</v>
      </c>
      <c r="E76" s="168">
        <f>IF(B76&lt;=$F$15,(E$17*(VLOOKUP($H$2,Лист2!$A:$N,12,0)-(B76-1)*VLOOKUP($H$2,Лист2!$A:$N,13,0))),0)</f>
        <v>0</v>
      </c>
      <c r="F76" s="169">
        <f>ROUND((E$17-SUM(D$29:D75))*F$9*30/365,2)</f>
        <v>0</v>
      </c>
      <c r="G76" s="269">
        <f t="shared" si="1"/>
        <v>0</v>
      </c>
      <c r="H76" s="269"/>
      <c r="I76" s="124"/>
      <c r="J76" s="124"/>
    </row>
    <row r="77" spans="1:10" hidden="1" x14ac:dyDescent="0.25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0" hidden="1" x14ac:dyDescent="0.25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0" hidden="1" x14ac:dyDescent="0.25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0" hidden="1" x14ac:dyDescent="0.25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idden="1" x14ac:dyDescent="0.25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idden="1" x14ac:dyDescent="0.25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idden="1" x14ac:dyDescent="0.25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idden="1" x14ac:dyDescent="0.25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idden="1" x14ac:dyDescent="0.25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idden="1" x14ac:dyDescent="0.25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idden="1" x14ac:dyDescent="0.25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99999.8</v>
      </c>
      <c r="E89" s="174">
        <f>SUM(E29:E88)</f>
        <v>158399.68319999997</v>
      </c>
      <c r="F89" s="174">
        <f>SUM(F29:F88)</f>
        <v>15.210000000000003</v>
      </c>
      <c r="G89" s="263">
        <f>SUM(G29:H88)</f>
        <v>258414.6932000001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7:E7"/>
    <mergeCell ref="H1:I1"/>
    <mergeCell ref="H2:I2"/>
    <mergeCell ref="F3:F4"/>
    <mergeCell ref="H3:I3"/>
    <mergeCell ref="B5:E5"/>
    <mergeCell ref="B9:E9"/>
    <mergeCell ref="G9:H9"/>
    <mergeCell ref="B11:E11"/>
    <mergeCell ref="G11:H11"/>
    <mergeCell ref="B13:E13"/>
    <mergeCell ref="G13:H13"/>
    <mergeCell ref="B15:E15"/>
    <mergeCell ref="G15:H15"/>
    <mergeCell ref="B18:E18"/>
    <mergeCell ref="G18:H18"/>
    <mergeCell ref="B20:E20"/>
    <mergeCell ref="G20:H20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</mergeCells>
  <dataValidations count="1">
    <dataValidation type="list" showInputMessage="1" showErrorMessage="1" sqref="H2:I2">
      <formula1>$K$40:$K$43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62"/>
  <sheetViews>
    <sheetView topLeftCell="A15" zoomScale="85" zoomScaleNormal="85" workbookViewId="0">
      <selection activeCell="G53" sqref="G53"/>
    </sheetView>
  </sheetViews>
  <sheetFormatPr defaultColWidth="9.109375" defaultRowHeight="13.2" x14ac:dyDescent="0.25"/>
  <cols>
    <col min="1" max="1" width="31" style="129" customWidth="1"/>
    <col min="2" max="2" width="11.44140625" style="129" customWidth="1"/>
    <col min="3" max="4" width="9.109375" style="129"/>
    <col min="5" max="5" width="17.33203125" style="129" customWidth="1"/>
    <col min="6" max="6" width="16.88671875" style="129" customWidth="1"/>
    <col min="7" max="7" width="15.6640625" style="129" customWidth="1"/>
    <col min="8" max="10" width="9.109375" style="129" customWidth="1"/>
    <col min="11" max="13" width="17.5546875" style="129" customWidth="1"/>
    <col min="14" max="14" width="9.109375" style="129"/>
    <col min="15" max="15" width="12.88671875" style="129" bestFit="1" customWidth="1"/>
    <col min="16" max="16384" width="9.109375" style="129"/>
  </cols>
  <sheetData>
    <row r="1" spans="1:15" x14ac:dyDescent="0.25">
      <c r="B1" s="129" t="s">
        <v>17</v>
      </c>
      <c r="C1" s="129" t="s">
        <v>18</v>
      </c>
      <c r="D1" s="129" t="s">
        <v>19</v>
      </c>
      <c r="E1" s="129" t="s">
        <v>20</v>
      </c>
      <c r="F1" s="129" t="s">
        <v>21</v>
      </c>
      <c r="J1" s="129" t="s">
        <v>12</v>
      </c>
      <c r="K1" s="129" t="s">
        <v>0</v>
      </c>
      <c r="L1" s="129" t="s">
        <v>27</v>
      </c>
      <c r="M1" s="129" t="s">
        <v>28</v>
      </c>
    </row>
    <row r="2" spans="1:15" x14ac:dyDescent="0.25">
      <c r="D2" s="130"/>
      <c r="E2" s="130"/>
      <c r="F2" s="130"/>
      <c r="H2" s="129" t="s">
        <v>23</v>
      </c>
      <c r="I2" s="129" t="s">
        <v>22</v>
      </c>
      <c r="K2" s="131"/>
      <c r="L2" s="131"/>
      <c r="M2" s="131"/>
    </row>
    <row r="3" spans="1:15" x14ac:dyDescent="0.25">
      <c r="A3" s="129">
        <v>1</v>
      </c>
      <c r="B3" s="129">
        <v>2</v>
      </c>
      <c r="C3" s="129">
        <v>3</v>
      </c>
      <c r="D3" s="129">
        <v>4</v>
      </c>
      <c r="E3" s="129">
        <v>5</v>
      </c>
      <c r="F3" s="129">
        <v>6</v>
      </c>
      <c r="G3" s="129">
        <v>7</v>
      </c>
      <c r="H3" s="129">
        <v>8</v>
      </c>
      <c r="I3" s="129">
        <v>9</v>
      </c>
      <c r="J3" s="129">
        <v>10</v>
      </c>
      <c r="K3" s="129">
        <v>11</v>
      </c>
      <c r="L3" s="129">
        <v>12</v>
      </c>
      <c r="M3" s="129">
        <v>13</v>
      </c>
      <c r="N3" s="129">
        <v>14</v>
      </c>
    </row>
    <row r="4" spans="1:15" s="141" customFormat="1" x14ac:dyDescent="0.25">
      <c r="A4" s="136" t="s">
        <v>49</v>
      </c>
      <c r="B4" s="136">
        <v>32128</v>
      </c>
      <c r="C4" s="136">
        <v>48</v>
      </c>
      <c r="D4" s="137">
        <v>0.155</v>
      </c>
      <c r="E4" s="137">
        <v>0.245</v>
      </c>
      <c r="F4" s="137">
        <v>4.9000000000000002E-2</v>
      </c>
      <c r="G4" s="136" t="str">
        <f t="shared" ref="G4:G9" si="0">I$2&amp;" "&amp;B4&amp;" "&amp;H$2</f>
        <v>max. 32128 грн.</v>
      </c>
      <c r="H4" s="136">
        <f t="shared" ref="H4:H9" si="1">B4+B4*E4</f>
        <v>39999.360000000001</v>
      </c>
      <c r="I4" s="136"/>
      <c r="J4" s="136">
        <v>1</v>
      </c>
      <c r="K4" s="138">
        <f t="shared" ref="K4:K9" si="2">D4/12/(1-1/POWER(1+D4/12,C4))*H4+H4*F4</f>
        <v>3083.3450214923992</v>
      </c>
      <c r="L4" s="139">
        <v>5.9650750456607074E-2</v>
      </c>
      <c r="M4" s="140">
        <v>5.0000000000000001E-4</v>
      </c>
      <c r="N4" s="136">
        <v>623</v>
      </c>
      <c r="O4" s="141" t="s">
        <v>47</v>
      </c>
    </row>
    <row r="5" spans="1:15" s="141" customFormat="1" x14ac:dyDescent="0.25">
      <c r="A5" s="136" t="s">
        <v>50</v>
      </c>
      <c r="B5" s="136">
        <v>32128</v>
      </c>
      <c r="C5" s="136">
        <v>36</v>
      </c>
      <c r="D5" s="137">
        <v>0.155</v>
      </c>
      <c r="E5" s="137">
        <v>0.245</v>
      </c>
      <c r="F5" s="137">
        <v>4.4499999999999998E-2</v>
      </c>
      <c r="G5" s="136" t="str">
        <f t="shared" si="0"/>
        <v>max. 32128 грн.</v>
      </c>
      <c r="H5" s="136">
        <f t="shared" si="1"/>
        <v>39999.360000000001</v>
      </c>
      <c r="I5" s="136"/>
      <c r="J5" s="136">
        <v>1</v>
      </c>
      <c r="K5" s="138">
        <f t="shared" si="2"/>
        <v>3176.376418035964</v>
      </c>
      <c r="L5" s="139">
        <v>6.0742888037843931E-2</v>
      </c>
      <c r="M5" s="140">
        <v>1E-3</v>
      </c>
      <c r="N5" s="136">
        <v>623</v>
      </c>
      <c r="O5" s="141" t="s">
        <v>47</v>
      </c>
    </row>
    <row r="6" spans="1:15" s="141" customFormat="1" x14ac:dyDescent="0.25">
      <c r="A6" s="136" t="s">
        <v>51</v>
      </c>
      <c r="B6" s="136">
        <v>32128</v>
      </c>
      <c r="C6" s="136">
        <v>30</v>
      </c>
      <c r="D6" s="137">
        <v>0.155</v>
      </c>
      <c r="E6" s="137">
        <v>0.245</v>
      </c>
      <c r="F6" s="137">
        <v>4.2000000000000003E-2</v>
      </c>
      <c r="G6" s="136" t="str">
        <f t="shared" si="0"/>
        <v>max. 32128 грн.</v>
      </c>
      <c r="H6" s="136">
        <f t="shared" si="1"/>
        <v>39999.360000000001</v>
      </c>
      <c r="I6" s="136"/>
      <c r="J6" s="136">
        <v>1</v>
      </c>
      <c r="K6" s="138">
        <f t="shared" si="2"/>
        <v>3296.7429931699526</v>
      </c>
      <c r="L6" s="139">
        <v>5.5656473742502315E-2</v>
      </c>
      <c r="M6" s="140">
        <v>1E-3</v>
      </c>
      <c r="N6" s="136">
        <v>623</v>
      </c>
      <c r="O6" s="141" t="s">
        <v>47</v>
      </c>
    </row>
    <row r="7" spans="1:15" s="141" customFormat="1" x14ac:dyDescent="0.25">
      <c r="A7" s="136" t="s">
        <v>52</v>
      </c>
      <c r="B7" s="136">
        <v>32128</v>
      </c>
      <c r="C7" s="136">
        <v>24</v>
      </c>
      <c r="D7" s="137">
        <v>0.155</v>
      </c>
      <c r="E7" s="137">
        <v>0.245</v>
      </c>
      <c r="F7" s="137">
        <v>3.85E-2</v>
      </c>
      <c r="G7" s="136" t="str">
        <f t="shared" si="0"/>
        <v>max. 32128 грн.</v>
      </c>
      <c r="H7" s="136">
        <f t="shared" si="1"/>
        <v>39999.360000000001</v>
      </c>
      <c r="I7" s="136"/>
      <c r="J7" s="136">
        <v>1</v>
      </c>
      <c r="K7" s="138">
        <f t="shared" si="2"/>
        <v>3488.9258754351386</v>
      </c>
      <c r="L7" s="139">
        <v>4.9495490188896242E-2</v>
      </c>
      <c r="M7" s="140">
        <v>1E-3</v>
      </c>
      <c r="N7" s="136">
        <v>623</v>
      </c>
      <c r="O7" s="141" t="s">
        <v>47</v>
      </c>
    </row>
    <row r="8" spans="1:15" s="141" customFormat="1" x14ac:dyDescent="0.25">
      <c r="A8" s="136" t="s">
        <v>53</v>
      </c>
      <c r="B8" s="136">
        <v>32258</v>
      </c>
      <c r="C8" s="136">
        <v>18</v>
      </c>
      <c r="D8" s="137">
        <v>0.155</v>
      </c>
      <c r="E8" s="137">
        <v>0.24</v>
      </c>
      <c r="F8" s="137">
        <v>3.4000000000000002E-2</v>
      </c>
      <c r="G8" s="136" t="str">
        <f t="shared" si="0"/>
        <v>max. 32258 грн.</v>
      </c>
      <c r="H8" s="136">
        <f t="shared" si="1"/>
        <v>39999.919999999998</v>
      </c>
      <c r="I8" s="136"/>
      <c r="J8" s="136">
        <v>1</v>
      </c>
      <c r="K8" s="138">
        <f t="shared" si="2"/>
        <v>3864.8064613944684</v>
      </c>
      <c r="L8" s="139">
        <v>4.2259681883401679E-2</v>
      </c>
      <c r="M8" s="140">
        <v>1E-3</v>
      </c>
      <c r="N8" s="136">
        <v>620</v>
      </c>
      <c r="O8" s="141" t="s">
        <v>47</v>
      </c>
    </row>
    <row r="9" spans="1:15" s="141" customFormat="1" x14ac:dyDescent="0.25">
      <c r="A9" s="136" t="s">
        <v>54</v>
      </c>
      <c r="B9" s="136">
        <v>32258</v>
      </c>
      <c r="C9" s="136">
        <v>12</v>
      </c>
      <c r="D9" s="137">
        <v>0.155</v>
      </c>
      <c r="E9" s="137">
        <v>0.24</v>
      </c>
      <c r="F9" s="137">
        <v>2.75E-2</v>
      </c>
      <c r="G9" s="136" t="str">
        <f t="shared" si="0"/>
        <v>max. 32258 грн.</v>
      </c>
      <c r="H9" s="136">
        <f t="shared" si="1"/>
        <v>39999.919999999998</v>
      </c>
      <c r="I9" s="136"/>
      <c r="J9" s="136">
        <v>1</v>
      </c>
      <c r="K9" s="138">
        <f t="shared" si="2"/>
        <v>4719.767215800427</v>
      </c>
      <c r="L9" s="139">
        <v>3.2949576062479509E-2</v>
      </c>
      <c r="M9" s="140">
        <v>1E-3</v>
      </c>
      <c r="N9" s="136">
        <v>620</v>
      </c>
      <c r="O9" s="141" t="s">
        <v>47</v>
      </c>
    </row>
    <row r="10" spans="1:15" x14ac:dyDescent="0.25">
      <c r="A10" s="142" t="s">
        <v>55</v>
      </c>
      <c r="B10" s="142">
        <v>40322</v>
      </c>
      <c r="C10" s="142">
        <v>36</v>
      </c>
      <c r="D10" s="143">
        <v>1E-4</v>
      </c>
      <c r="E10" s="143">
        <v>0.24</v>
      </c>
      <c r="F10" s="143">
        <v>3.6900000000000002E-2</v>
      </c>
      <c r="G10" s="142" t="str">
        <f t="shared" ref="G10:G14" si="3">I$2&amp;" "&amp;B10&amp;" "&amp;H$2</f>
        <v>max. 40322 грн.</v>
      </c>
      <c r="H10" s="142">
        <f t="shared" ref="H10:H14" si="4">B10+B10*E10</f>
        <v>49999.28</v>
      </c>
      <c r="I10" s="142"/>
      <c r="J10" s="142">
        <v>2</v>
      </c>
      <c r="K10" s="144">
        <f t="shared" ref="K10:K14" si="5">D10/12/(1-1/POWER(1+D10/12,C10))*H10+H10*F10</f>
        <v>3234.0564485770815</v>
      </c>
      <c r="L10" s="145">
        <v>3.6900000000000002E-2</v>
      </c>
      <c r="M10" s="146">
        <v>0</v>
      </c>
      <c r="N10" s="142">
        <v>1000</v>
      </c>
      <c r="O10" s="129" t="s">
        <v>48</v>
      </c>
    </row>
    <row r="11" spans="1:15" x14ac:dyDescent="0.25">
      <c r="A11" s="142" t="s">
        <v>56</v>
      </c>
      <c r="B11" s="142">
        <v>40983</v>
      </c>
      <c r="C11" s="142">
        <v>30</v>
      </c>
      <c r="D11" s="143">
        <v>1E-4</v>
      </c>
      <c r="E11" s="143">
        <v>0.22</v>
      </c>
      <c r="F11" s="143">
        <v>3.6900000000000002E-2</v>
      </c>
      <c r="G11" s="142" t="str">
        <f t="shared" si="3"/>
        <v>max. 40983 грн.</v>
      </c>
      <c r="H11" s="142">
        <f t="shared" si="4"/>
        <v>49999.26</v>
      </c>
      <c r="I11" s="142"/>
      <c r="J11" s="142">
        <v>2</v>
      </c>
      <c r="K11" s="144">
        <f t="shared" si="5"/>
        <v>3511.8299772539249</v>
      </c>
      <c r="L11" s="145">
        <v>3.6900000000000002E-2</v>
      </c>
      <c r="M11" s="146">
        <v>0</v>
      </c>
      <c r="N11" s="142">
        <v>1000</v>
      </c>
      <c r="O11" s="129" t="s">
        <v>48</v>
      </c>
    </row>
    <row r="12" spans="1:15" x14ac:dyDescent="0.25">
      <c r="A12" s="142" t="s">
        <v>57</v>
      </c>
      <c r="B12" s="142">
        <v>41666</v>
      </c>
      <c r="C12" s="142">
        <v>24</v>
      </c>
      <c r="D12" s="143">
        <v>1E-4</v>
      </c>
      <c r="E12" s="143">
        <v>0.2</v>
      </c>
      <c r="F12" s="143">
        <v>3.6900000000000002E-2</v>
      </c>
      <c r="G12" s="142" t="str">
        <f t="shared" si="3"/>
        <v>max. 41666 грн.</v>
      </c>
      <c r="H12" s="142">
        <f t="shared" si="4"/>
        <v>49999.199999999997</v>
      </c>
      <c r="I12" s="142"/>
      <c r="J12" s="142">
        <v>2</v>
      </c>
      <c r="K12" s="144">
        <f t="shared" si="5"/>
        <v>3928.4874973378815</v>
      </c>
      <c r="L12" s="145">
        <v>3.6900000000000002E-2</v>
      </c>
      <c r="M12" s="146">
        <v>0</v>
      </c>
      <c r="N12" s="142">
        <v>1000</v>
      </c>
      <c r="O12" s="129" t="s">
        <v>48</v>
      </c>
    </row>
    <row r="13" spans="1:15" x14ac:dyDescent="0.25">
      <c r="A13" s="142" t="s">
        <v>58</v>
      </c>
      <c r="B13" s="142">
        <v>42372</v>
      </c>
      <c r="C13" s="142">
        <v>18</v>
      </c>
      <c r="D13" s="143">
        <v>1E-4</v>
      </c>
      <c r="E13" s="143">
        <v>0.18</v>
      </c>
      <c r="F13" s="143">
        <v>3.6900000000000002E-2</v>
      </c>
      <c r="G13" s="142" t="str">
        <f t="shared" si="3"/>
        <v>max. 42372 грн.</v>
      </c>
      <c r="H13" s="142">
        <f t="shared" si="4"/>
        <v>49998.96</v>
      </c>
      <c r="I13" s="142"/>
      <c r="J13" s="142">
        <v>2</v>
      </c>
      <c r="K13" s="144">
        <f t="shared" si="5"/>
        <v>4622.9015320110448</v>
      </c>
      <c r="L13" s="145">
        <v>3.6900000000000002E-2</v>
      </c>
      <c r="M13" s="146">
        <v>0</v>
      </c>
      <c r="N13" s="142">
        <v>1000</v>
      </c>
      <c r="O13" s="129" t="s">
        <v>48</v>
      </c>
    </row>
    <row r="14" spans="1:15" x14ac:dyDescent="0.25">
      <c r="A14" s="142" t="s">
        <v>59</v>
      </c>
      <c r="B14" s="142">
        <v>43103</v>
      </c>
      <c r="C14" s="142">
        <v>12</v>
      </c>
      <c r="D14" s="143">
        <v>1E-4</v>
      </c>
      <c r="E14" s="143">
        <v>0.16</v>
      </c>
      <c r="F14" s="143">
        <v>3.6900000000000002E-2</v>
      </c>
      <c r="G14" s="142" t="str">
        <f t="shared" si="3"/>
        <v>max. 43103 грн.</v>
      </c>
      <c r="H14" s="142">
        <f t="shared" si="4"/>
        <v>49999.48</v>
      </c>
      <c r="I14" s="142"/>
      <c r="J14" s="142">
        <v>2</v>
      </c>
      <c r="K14" s="144">
        <f t="shared" si="5"/>
        <v>6011.8298408574574</v>
      </c>
      <c r="L14" s="145">
        <v>3.6900000000000002E-2</v>
      </c>
      <c r="M14" s="146">
        <v>0</v>
      </c>
      <c r="N14" s="142">
        <v>1000</v>
      </c>
      <c r="O14" s="129" t="s">
        <v>48</v>
      </c>
    </row>
    <row r="15" spans="1:15" x14ac:dyDescent="0.25">
      <c r="A15" s="147" t="s">
        <v>64</v>
      </c>
      <c r="B15" s="147">
        <v>86955</v>
      </c>
      <c r="C15" s="147">
        <v>36</v>
      </c>
      <c r="D15" s="148">
        <v>1E-4</v>
      </c>
      <c r="E15" s="148">
        <v>0.15</v>
      </c>
      <c r="F15" s="148">
        <v>3.5000000000000003E-2</v>
      </c>
      <c r="G15" s="147" t="str">
        <f t="shared" ref="G15:G19" si="6">I$2&amp;" "&amp;B15&amp;" "&amp;H$2</f>
        <v>max. 86955 грн.</v>
      </c>
      <c r="H15" s="147">
        <f t="shared" ref="H15:H19" si="7">B15+B15*E15</f>
        <v>99998.25</v>
      </c>
      <c r="I15" s="147"/>
      <c r="J15" s="147">
        <v>3</v>
      </c>
      <c r="K15" s="149">
        <f t="shared" ref="K15:K19" si="8">D15/12/(1-1/POWER(1+D15/12,C15))*H15+H15*F15</f>
        <v>6278.0961707154411</v>
      </c>
      <c r="L15" s="150">
        <v>3.5000000000000003E-2</v>
      </c>
      <c r="M15" s="151">
        <v>0</v>
      </c>
      <c r="N15" s="147">
        <v>43478</v>
      </c>
      <c r="O15" s="129" t="s">
        <v>48</v>
      </c>
    </row>
    <row r="16" spans="1:15" x14ac:dyDescent="0.25">
      <c r="A16" s="147" t="s">
        <v>65</v>
      </c>
      <c r="B16" s="147">
        <v>86955</v>
      </c>
      <c r="C16" s="147">
        <v>30</v>
      </c>
      <c r="D16" s="148">
        <v>1E-4</v>
      </c>
      <c r="E16" s="148">
        <v>0.15</v>
      </c>
      <c r="F16" s="148">
        <v>3.5000000000000003E-2</v>
      </c>
      <c r="G16" s="147" t="str">
        <f t="shared" si="6"/>
        <v>max. 86955 грн.</v>
      </c>
      <c r="H16" s="147">
        <f t="shared" si="7"/>
        <v>99998.25</v>
      </c>
      <c r="I16" s="147"/>
      <c r="J16" s="147">
        <v>3</v>
      </c>
      <c r="K16" s="149">
        <f t="shared" si="8"/>
        <v>6833.6443153453019</v>
      </c>
      <c r="L16" s="150">
        <v>3.5000000000000003E-2</v>
      </c>
      <c r="M16" s="151">
        <v>0</v>
      </c>
      <c r="N16" s="147">
        <v>43478</v>
      </c>
      <c r="O16" s="129" t="s">
        <v>48</v>
      </c>
    </row>
    <row r="17" spans="1:15" x14ac:dyDescent="0.25">
      <c r="A17" s="147" t="s">
        <v>66</v>
      </c>
      <c r="B17" s="147">
        <v>86955</v>
      </c>
      <c r="C17" s="147">
        <v>24</v>
      </c>
      <c r="D17" s="148">
        <v>1E-4</v>
      </c>
      <c r="E17" s="148">
        <v>0.15</v>
      </c>
      <c r="F17" s="148">
        <v>3.5000000000000003E-2</v>
      </c>
      <c r="G17" s="147" t="str">
        <f t="shared" si="6"/>
        <v>max. 86955 грн.</v>
      </c>
      <c r="H17" s="147">
        <f t="shared" si="7"/>
        <v>99998.25</v>
      </c>
      <c r="I17" s="147"/>
      <c r="J17" s="147">
        <v>3</v>
      </c>
      <c r="K17" s="149">
        <f t="shared" si="8"/>
        <v>7666.9665340247011</v>
      </c>
      <c r="L17" s="150">
        <v>3.5000000000000003E-2</v>
      </c>
      <c r="M17" s="151">
        <v>0</v>
      </c>
      <c r="N17" s="147">
        <v>43478</v>
      </c>
      <c r="O17" s="129" t="s">
        <v>48</v>
      </c>
    </row>
    <row r="18" spans="1:15" x14ac:dyDescent="0.25">
      <c r="A18" s="147" t="s">
        <v>67</v>
      </c>
      <c r="B18" s="147">
        <v>86955</v>
      </c>
      <c r="C18" s="147">
        <v>18</v>
      </c>
      <c r="D18" s="148">
        <v>1E-4</v>
      </c>
      <c r="E18" s="148">
        <v>0.15</v>
      </c>
      <c r="F18" s="148">
        <v>3.5000000000000003E-2</v>
      </c>
      <c r="G18" s="147" t="str">
        <f t="shared" si="6"/>
        <v>max. 86955 грн.</v>
      </c>
      <c r="H18" s="147">
        <f t="shared" si="7"/>
        <v>99998.25</v>
      </c>
      <c r="I18" s="147"/>
      <c r="J18" s="147">
        <v>3</v>
      </c>
      <c r="K18" s="149">
        <f t="shared" si="8"/>
        <v>9055.8369008068439</v>
      </c>
      <c r="L18" s="150">
        <v>3.5000000000000003E-2</v>
      </c>
      <c r="M18" s="151">
        <v>0</v>
      </c>
      <c r="N18" s="147">
        <v>43478</v>
      </c>
      <c r="O18" s="129" t="s">
        <v>48</v>
      </c>
    </row>
    <row r="19" spans="1:15" x14ac:dyDescent="0.25">
      <c r="A19" s="147" t="s">
        <v>68</v>
      </c>
      <c r="B19" s="147">
        <v>86955</v>
      </c>
      <c r="C19" s="147">
        <v>12</v>
      </c>
      <c r="D19" s="148">
        <v>1E-4</v>
      </c>
      <c r="E19" s="148">
        <v>0.15</v>
      </c>
      <c r="F19" s="148">
        <v>3.5000000000000003E-2</v>
      </c>
      <c r="G19" s="147" t="str">
        <f t="shared" si="6"/>
        <v>max. 86955 грн.</v>
      </c>
      <c r="H19" s="147">
        <f t="shared" si="7"/>
        <v>99998.25</v>
      </c>
      <c r="I19" s="147"/>
      <c r="J19" s="147">
        <v>3</v>
      </c>
      <c r="K19" s="149">
        <f t="shared" si="8"/>
        <v>11833.577637843337</v>
      </c>
      <c r="L19" s="150">
        <v>3.5000000000000003E-2</v>
      </c>
      <c r="M19" s="151">
        <v>0</v>
      </c>
      <c r="N19" s="147">
        <v>43478</v>
      </c>
      <c r="O19" s="129" t="s">
        <v>48</v>
      </c>
    </row>
    <row r="20" spans="1:15" x14ac:dyDescent="0.25">
      <c r="A20" s="152" t="s">
        <v>60</v>
      </c>
      <c r="B20" s="152">
        <v>80645</v>
      </c>
      <c r="C20" s="152">
        <v>36</v>
      </c>
      <c r="D20" s="153">
        <v>1E-4</v>
      </c>
      <c r="E20" s="153">
        <v>0.24</v>
      </c>
      <c r="F20" s="153">
        <v>4.3999999999999997E-2</v>
      </c>
      <c r="G20" s="152" t="str">
        <f t="shared" ref="G20:G51" si="9">I$2&amp;" "&amp;B20&amp;" "&amp;H$2</f>
        <v>max. 80645 грн.</v>
      </c>
      <c r="H20" s="152">
        <f t="shared" ref="H20:H23" si="10">B20+B20*E20</f>
        <v>99999.8</v>
      </c>
      <c r="I20" s="152"/>
      <c r="J20" s="152">
        <v>4</v>
      </c>
      <c r="K20" s="154">
        <f t="shared" ref="K20:K23" si="11">D20/12/(1-1/POWER(1+D20/12,C20))*H20+H20*F20</f>
        <v>7178.1916829090496</v>
      </c>
      <c r="L20" s="155">
        <v>4.3999999999999997E-2</v>
      </c>
      <c r="M20" s="156">
        <v>0</v>
      </c>
      <c r="N20" s="152">
        <v>1000</v>
      </c>
      <c r="O20" s="129" t="s">
        <v>46</v>
      </c>
    </row>
    <row r="21" spans="1:15" x14ac:dyDescent="0.25">
      <c r="A21" s="152" t="s">
        <v>61</v>
      </c>
      <c r="B21" s="152">
        <v>83332</v>
      </c>
      <c r="C21" s="152">
        <v>24</v>
      </c>
      <c r="D21" s="153">
        <v>1E-4</v>
      </c>
      <c r="E21" s="153">
        <v>0.2</v>
      </c>
      <c r="F21" s="153">
        <v>4.3999999999999997E-2</v>
      </c>
      <c r="G21" s="152" t="str">
        <f t="shared" si="9"/>
        <v>max. 83332 грн.</v>
      </c>
      <c r="H21" s="152">
        <f t="shared" si="10"/>
        <v>99998.399999999994</v>
      </c>
      <c r="I21" s="152"/>
      <c r="J21" s="152">
        <v>4</v>
      </c>
      <c r="K21" s="154">
        <f t="shared" si="11"/>
        <v>8566.9636346757616</v>
      </c>
      <c r="L21" s="155">
        <v>4.3999999999999997E-2</v>
      </c>
      <c r="M21" s="156">
        <v>0</v>
      </c>
      <c r="N21" s="152">
        <v>1000</v>
      </c>
      <c r="O21" s="129" t="s">
        <v>46</v>
      </c>
    </row>
    <row r="22" spans="1:15" x14ac:dyDescent="0.25">
      <c r="A22" s="152" t="s">
        <v>62</v>
      </c>
      <c r="B22" s="152">
        <v>84744</v>
      </c>
      <c r="C22" s="152">
        <v>18</v>
      </c>
      <c r="D22" s="153">
        <v>1E-4</v>
      </c>
      <c r="E22" s="153">
        <v>0.18</v>
      </c>
      <c r="F22" s="153">
        <v>4.3999999999999997E-2</v>
      </c>
      <c r="G22" s="152" t="str">
        <f t="shared" si="9"/>
        <v>max. 84744 грн.</v>
      </c>
      <c r="H22" s="152">
        <f t="shared" si="10"/>
        <v>99997.92</v>
      </c>
      <c r="I22" s="152"/>
      <c r="J22" s="152">
        <v>4</v>
      </c>
      <c r="K22" s="154">
        <f t="shared" si="11"/>
        <v>9955.7882960220886</v>
      </c>
      <c r="L22" s="155">
        <v>4.3999999999999997E-2</v>
      </c>
      <c r="M22" s="156">
        <v>0</v>
      </c>
      <c r="N22" s="152">
        <v>1000</v>
      </c>
      <c r="O22" s="129" t="s">
        <v>46</v>
      </c>
    </row>
    <row r="23" spans="1:15" x14ac:dyDescent="0.25">
      <c r="A23" s="152" t="s">
        <v>63</v>
      </c>
      <c r="B23" s="152">
        <v>86207</v>
      </c>
      <c r="C23" s="152">
        <v>12</v>
      </c>
      <c r="D23" s="153">
        <v>1E-4</v>
      </c>
      <c r="E23" s="153">
        <v>0.16</v>
      </c>
      <c r="F23" s="153">
        <v>4.3999999999999997E-2</v>
      </c>
      <c r="G23" s="152" t="str">
        <f t="shared" si="9"/>
        <v>max. 86207 грн.</v>
      </c>
      <c r="H23" s="152">
        <f t="shared" si="10"/>
        <v>100000.12</v>
      </c>
      <c r="I23" s="152"/>
      <c r="J23" s="152">
        <v>4</v>
      </c>
      <c r="K23" s="154">
        <f t="shared" si="11"/>
        <v>12733.800009617771</v>
      </c>
      <c r="L23" s="155">
        <v>4.3999999999999997E-2</v>
      </c>
      <c r="M23" s="156">
        <v>0</v>
      </c>
      <c r="N23" s="152">
        <v>1000</v>
      </c>
      <c r="O23" s="129" t="s">
        <v>46</v>
      </c>
    </row>
    <row r="24" spans="1:15" x14ac:dyDescent="0.25">
      <c r="A24" s="179" t="s">
        <v>101</v>
      </c>
      <c r="B24" s="179">
        <v>85189</v>
      </c>
      <c r="C24" s="179">
        <v>60</v>
      </c>
      <c r="D24" s="180">
        <v>1.9900000000000001E-2</v>
      </c>
      <c r="E24" s="180">
        <v>0.17499999999999999</v>
      </c>
      <c r="F24" s="180">
        <v>3.2000000000000001E-2</v>
      </c>
      <c r="G24" s="179" t="str">
        <f t="shared" si="9"/>
        <v>max. 85189 грн.</v>
      </c>
      <c r="H24" s="179">
        <f>B24+B24*E24</f>
        <v>100097.075</v>
      </c>
      <c r="I24" s="179"/>
      <c r="J24" s="179">
        <v>1</v>
      </c>
      <c r="K24" s="181">
        <f>D24/12/(1-1/POWER(1+D24/12,C24))*H24+H24*F24</f>
        <v>4957.1460483810242</v>
      </c>
      <c r="L24" s="182">
        <v>4.21654048927299E-2</v>
      </c>
      <c r="M24" s="183">
        <v>3.5E-4</v>
      </c>
      <c r="N24" s="179">
        <v>1000</v>
      </c>
    </row>
    <row r="25" spans="1:15" x14ac:dyDescent="0.25">
      <c r="A25" s="179" t="s">
        <v>100</v>
      </c>
      <c r="B25" s="179">
        <v>85189</v>
      </c>
      <c r="C25" s="179">
        <v>48</v>
      </c>
      <c r="D25" s="180">
        <v>1.9900000000000001E-2</v>
      </c>
      <c r="E25" s="180">
        <v>0.17499999999999999</v>
      </c>
      <c r="F25" s="180">
        <v>0.03</v>
      </c>
      <c r="G25" s="179" t="str">
        <f t="shared" si="9"/>
        <v>max. 85189 грн.</v>
      </c>
      <c r="H25" s="179">
        <f t="shared" ref="H25:H29" si="12">B25+B25*E25</f>
        <v>100097.075</v>
      </c>
      <c r="I25" s="179"/>
      <c r="J25" s="179">
        <v>1</v>
      </c>
      <c r="K25" s="181">
        <f t="shared" ref="K25:K51" si="13">D25/12/(1-1/POWER(1+D25/12,C25))*H25+H25*F25</f>
        <v>5174.0938348096424</v>
      </c>
      <c r="L25" s="182">
        <v>4.1605093284651298E-2</v>
      </c>
      <c r="M25" s="183">
        <v>5.0000000000000001E-4</v>
      </c>
      <c r="N25" s="179">
        <v>1000</v>
      </c>
    </row>
    <row r="26" spans="1:15" x14ac:dyDescent="0.25">
      <c r="A26" s="179" t="s">
        <v>102</v>
      </c>
      <c r="B26" s="179">
        <v>85189</v>
      </c>
      <c r="C26" s="179">
        <v>36</v>
      </c>
      <c r="D26" s="180">
        <v>0.185</v>
      </c>
      <c r="E26" s="180">
        <v>0.17499999999999999</v>
      </c>
      <c r="F26" s="180">
        <v>0.02</v>
      </c>
      <c r="G26" s="179" t="str">
        <f t="shared" si="9"/>
        <v>max. 85189 грн.</v>
      </c>
      <c r="H26" s="179">
        <f t="shared" si="12"/>
        <v>100097.075</v>
      </c>
      <c r="I26" s="179"/>
      <c r="J26" s="179">
        <v>1</v>
      </c>
      <c r="K26" s="181">
        <f t="shared" si="13"/>
        <v>5645.8468213784026</v>
      </c>
      <c r="L26" s="182">
        <v>3.6006882070759E-2</v>
      </c>
      <c r="M26" s="183">
        <v>1E-3</v>
      </c>
      <c r="N26" s="179">
        <v>1000</v>
      </c>
    </row>
    <row r="27" spans="1:15" x14ac:dyDescent="0.25">
      <c r="A27" s="179" t="s">
        <v>103</v>
      </c>
      <c r="B27" s="179">
        <v>85189</v>
      </c>
      <c r="C27" s="179">
        <v>24</v>
      </c>
      <c r="D27" s="180">
        <v>0.185</v>
      </c>
      <c r="E27" s="180">
        <v>0.17499999999999999</v>
      </c>
      <c r="F27" s="180">
        <v>1.7000000000000001E-2</v>
      </c>
      <c r="G27" s="179" t="str">
        <f t="shared" si="9"/>
        <v>max. 85189 грн.</v>
      </c>
      <c r="H27" s="179">
        <f t="shared" si="12"/>
        <v>100097.075</v>
      </c>
      <c r="I27" s="179"/>
      <c r="J27" s="179">
        <v>1</v>
      </c>
      <c r="K27" s="181">
        <f t="shared" si="13"/>
        <v>6723.1226779689987</v>
      </c>
      <c r="L27" s="182">
        <v>2.79011731439411E-2</v>
      </c>
      <c r="M27" s="183">
        <v>1E-3</v>
      </c>
      <c r="N27" s="179">
        <v>1000</v>
      </c>
    </row>
    <row r="28" spans="1:15" x14ac:dyDescent="0.25">
      <c r="A28" s="179" t="s">
        <v>104</v>
      </c>
      <c r="B28" s="179">
        <v>85553</v>
      </c>
      <c r="C28" s="179">
        <v>18</v>
      </c>
      <c r="D28" s="180">
        <v>0.185</v>
      </c>
      <c r="E28" s="180">
        <v>0.17</v>
      </c>
      <c r="F28" s="180">
        <v>1.4500000000000001E-2</v>
      </c>
      <c r="G28" s="179" t="str">
        <f t="shared" si="9"/>
        <v>max. 85553 грн.</v>
      </c>
      <c r="H28" s="179">
        <f t="shared" si="12"/>
        <v>100097.01</v>
      </c>
      <c r="I28" s="179"/>
      <c r="J28" s="179">
        <v>1</v>
      </c>
      <c r="K28" s="181">
        <f t="shared" si="13"/>
        <v>7862.0577471452862</v>
      </c>
      <c r="L28" s="182">
        <v>2.2715294620068799E-2</v>
      </c>
      <c r="M28" s="183">
        <v>1E-3</v>
      </c>
      <c r="N28" s="179">
        <v>1000</v>
      </c>
    </row>
    <row r="29" spans="1:15" x14ac:dyDescent="0.25">
      <c r="A29" s="179" t="s">
        <v>105</v>
      </c>
      <c r="B29" s="179">
        <v>85553</v>
      </c>
      <c r="C29" s="179">
        <v>12</v>
      </c>
      <c r="D29" s="180">
        <v>0.185</v>
      </c>
      <c r="E29" s="180">
        <v>0.17</v>
      </c>
      <c r="F29" s="180">
        <v>1.0999999999999999E-2</v>
      </c>
      <c r="G29" s="179" t="str">
        <f t="shared" si="9"/>
        <v>max. 85553 грн.</v>
      </c>
      <c r="H29" s="179">
        <f t="shared" si="12"/>
        <v>100097.01</v>
      </c>
      <c r="I29" s="179"/>
      <c r="J29" s="179">
        <v>1</v>
      </c>
      <c r="K29" s="181">
        <f t="shared" si="13"/>
        <v>10301.795850343</v>
      </c>
      <c r="L29" s="182">
        <v>1.6440992800477498E-2</v>
      </c>
      <c r="M29" s="183">
        <v>1E-3</v>
      </c>
      <c r="N29" s="179">
        <v>1000</v>
      </c>
    </row>
    <row r="30" spans="1:15" x14ac:dyDescent="0.25">
      <c r="A30" s="184" t="s">
        <v>106</v>
      </c>
      <c r="B30" s="184">
        <v>40062</v>
      </c>
      <c r="C30" s="184">
        <v>48</v>
      </c>
      <c r="D30" s="185">
        <v>0.155</v>
      </c>
      <c r="E30" s="185">
        <v>0.248</v>
      </c>
      <c r="F30" s="185">
        <v>4.9000000000000002E-2</v>
      </c>
      <c r="G30" s="184" t="str">
        <f t="shared" si="9"/>
        <v>max. 40062 грн.</v>
      </c>
      <c r="H30" s="184">
        <f>B30+B30*E30</f>
        <v>49997.376000000004</v>
      </c>
      <c r="I30" s="184"/>
      <c r="J30" s="184">
        <v>4</v>
      </c>
      <c r="K30" s="186">
        <f t="shared" si="13"/>
        <v>3854.0406740828748</v>
      </c>
      <c r="L30" s="187">
        <v>5.9650750456607074E-2</v>
      </c>
      <c r="M30" s="188">
        <v>5.0000000000000001E-4</v>
      </c>
      <c r="N30" s="184">
        <v>500</v>
      </c>
    </row>
    <row r="31" spans="1:15" x14ac:dyDescent="0.25">
      <c r="A31" s="184" t="s">
        <v>107</v>
      </c>
      <c r="B31" s="184">
        <v>40062</v>
      </c>
      <c r="C31" s="184">
        <v>36</v>
      </c>
      <c r="D31" s="185">
        <v>0.155</v>
      </c>
      <c r="E31" s="185">
        <v>0.248</v>
      </c>
      <c r="F31" s="185">
        <v>4.4499999999999998E-2</v>
      </c>
      <c r="G31" s="184" t="str">
        <f t="shared" si="9"/>
        <v>max. 40062 грн.</v>
      </c>
      <c r="H31" s="184">
        <f t="shared" ref="H31:H35" si="14">B31+B31*E31</f>
        <v>49997.376000000004</v>
      </c>
      <c r="I31" s="184"/>
      <c r="J31" s="184">
        <v>4</v>
      </c>
      <c r="K31" s="186">
        <f t="shared" si="13"/>
        <v>3970.3256774627716</v>
      </c>
      <c r="L31" s="187">
        <v>6.0742888037843931E-2</v>
      </c>
      <c r="M31" s="188">
        <v>1E-3</v>
      </c>
      <c r="N31" s="184">
        <v>500</v>
      </c>
    </row>
    <row r="32" spans="1:15" x14ac:dyDescent="0.25">
      <c r="A32" s="184" t="s">
        <v>108</v>
      </c>
      <c r="B32" s="184">
        <v>40062</v>
      </c>
      <c r="C32" s="184">
        <v>30</v>
      </c>
      <c r="D32" s="185">
        <v>0.155</v>
      </c>
      <c r="E32" s="185">
        <v>0.248</v>
      </c>
      <c r="F32" s="185">
        <v>4.2000000000000003E-2</v>
      </c>
      <c r="G32" s="184" t="str">
        <f t="shared" si="9"/>
        <v>max. 40062 грн.</v>
      </c>
      <c r="H32" s="184">
        <f t="shared" si="14"/>
        <v>49997.376000000004</v>
      </c>
      <c r="I32" s="184"/>
      <c r="J32" s="184">
        <v>4</v>
      </c>
      <c r="K32" s="186">
        <f t="shared" si="13"/>
        <v>4120.7784075766103</v>
      </c>
      <c r="L32" s="187">
        <v>5.5656473742502315E-2</v>
      </c>
      <c r="M32" s="188">
        <v>1E-3</v>
      </c>
      <c r="N32" s="184">
        <v>500</v>
      </c>
    </row>
    <row r="33" spans="1:14" x14ac:dyDescent="0.25">
      <c r="A33" s="184" t="s">
        <v>109</v>
      </c>
      <c r="B33" s="184">
        <v>40062</v>
      </c>
      <c r="C33" s="184">
        <v>24</v>
      </c>
      <c r="D33" s="185">
        <v>0.155</v>
      </c>
      <c r="E33" s="185">
        <v>0.248</v>
      </c>
      <c r="F33" s="185">
        <v>3.85E-2</v>
      </c>
      <c r="G33" s="184" t="str">
        <f t="shared" si="9"/>
        <v>max. 40062 грн.</v>
      </c>
      <c r="H33" s="184">
        <f t="shared" si="14"/>
        <v>49997.376000000004</v>
      </c>
      <c r="I33" s="184"/>
      <c r="J33" s="184">
        <v>4</v>
      </c>
      <c r="K33" s="186">
        <f t="shared" si="13"/>
        <v>4360.9982467284426</v>
      </c>
      <c r="L33" s="187">
        <v>4.9495490188896242E-2</v>
      </c>
      <c r="M33" s="188">
        <v>1E-3</v>
      </c>
      <c r="N33" s="184">
        <v>500</v>
      </c>
    </row>
    <row r="34" spans="1:14" x14ac:dyDescent="0.25">
      <c r="A34" s="184" t="s">
        <v>110</v>
      </c>
      <c r="B34" s="184">
        <v>40223</v>
      </c>
      <c r="C34" s="184">
        <v>18</v>
      </c>
      <c r="D34" s="185">
        <v>0.155</v>
      </c>
      <c r="E34" s="185">
        <v>0.24299999999999999</v>
      </c>
      <c r="F34" s="185">
        <v>3.4000000000000002E-2</v>
      </c>
      <c r="G34" s="184" t="str">
        <f t="shared" si="9"/>
        <v>max. 40223 грн.</v>
      </c>
      <c r="H34" s="184">
        <f t="shared" si="14"/>
        <v>49997.188999999998</v>
      </c>
      <c r="I34" s="184"/>
      <c r="J34" s="184">
        <v>4</v>
      </c>
      <c r="K34" s="186">
        <f t="shared" si="13"/>
        <v>4830.746138961289</v>
      </c>
      <c r="L34" s="187">
        <v>4.2259681883401679E-2</v>
      </c>
      <c r="M34" s="188">
        <v>1E-3</v>
      </c>
      <c r="N34" s="184">
        <v>500</v>
      </c>
    </row>
    <row r="35" spans="1:14" x14ac:dyDescent="0.25">
      <c r="A35" s="184" t="s">
        <v>111</v>
      </c>
      <c r="B35" s="184">
        <v>40223</v>
      </c>
      <c r="C35" s="184">
        <v>12</v>
      </c>
      <c r="D35" s="185">
        <v>0.155</v>
      </c>
      <c r="E35" s="185">
        <v>0.24299999999999999</v>
      </c>
      <c r="F35" s="185">
        <v>2.75E-2</v>
      </c>
      <c r="G35" s="184" t="str">
        <f t="shared" si="9"/>
        <v>max. 40223 грн.</v>
      </c>
      <c r="H35" s="184">
        <f t="shared" si="14"/>
        <v>49997.188999999998</v>
      </c>
      <c r="I35" s="184"/>
      <c r="J35" s="184">
        <v>4</v>
      </c>
      <c r="K35" s="186">
        <f t="shared" si="13"/>
        <v>5899.3891368877175</v>
      </c>
      <c r="L35" s="187">
        <v>3.2949576062479509E-2</v>
      </c>
      <c r="M35" s="188">
        <v>1E-3</v>
      </c>
      <c r="N35" s="184">
        <v>500</v>
      </c>
    </row>
    <row r="36" spans="1:14" x14ac:dyDescent="0.25">
      <c r="A36" s="189" t="s">
        <v>112</v>
      </c>
      <c r="B36" s="189">
        <v>41734</v>
      </c>
      <c r="C36" s="189">
        <v>48</v>
      </c>
      <c r="D36" s="190">
        <v>0.19500000000000001</v>
      </c>
      <c r="E36" s="190">
        <v>0.19800000000000001</v>
      </c>
      <c r="F36" s="190">
        <v>2.9499999999999998E-2</v>
      </c>
      <c r="G36" s="189" t="str">
        <f t="shared" si="9"/>
        <v>max. 41734 грн.</v>
      </c>
      <c r="H36" s="189">
        <f>B36+B36*E36</f>
        <v>49997.332000000002</v>
      </c>
      <c r="I36" s="189"/>
      <c r="J36" s="189">
        <v>5</v>
      </c>
      <c r="K36" s="191">
        <f t="shared" si="13"/>
        <v>2983.0709085542362</v>
      </c>
      <c r="L36" s="192">
        <v>3.9880303106764665E-2</v>
      </c>
      <c r="M36" s="193">
        <v>5.0000000000000001E-4</v>
      </c>
      <c r="N36" s="189">
        <v>500</v>
      </c>
    </row>
    <row r="37" spans="1:14" x14ac:dyDescent="0.25">
      <c r="A37" s="189" t="s">
        <v>113</v>
      </c>
      <c r="B37" s="189">
        <v>41734</v>
      </c>
      <c r="C37" s="189">
        <v>36</v>
      </c>
      <c r="D37" s="190">
        <v>0.19500000000000001</v>
      </c>
      <c r="E37" s="190">
        <v>0.19800000000000001</v>
      </c>
      <c r="F37" s="190">
        <v>2.6499999999999999E-2</v>
      </c>
      <c r="G37" s="189" t="str">
        <f t="shared" si="9"/>
        <v>max. 41734 грн.</v>
      </c>
      <c r="H37" s="189">
        <f t="shared" ref="H37:H41" si="15">B37+B37*E37</f>
        <v>49997.332000000002</v>
      </c>
      <c r="I37" s="189"/>
      <c r="J37" s="189">
        <v>5</v>
      </c>
      <c r="K37" s="191">
        <f t="shared" si="13"/>
        <v>3170.2963469691522</v>
      </c>
      <c r="L37" s="192">
        <v>4.2428839258027332E-2</v>
      </c>
      <c r="M37" s="193">
        <v>1E-3</v>
      </c>
      <c r="N37" s="189">
        <v>500</v>
      </c>
    </row>
    <row r="38" spans="1:14" x14ac:dyDescent="0.25">
      <c r="A38" s="189" t="s">
        <v>114</v>
      </c>
      <c r="B38" s="189">
        <v>41734</v>
      </c>
      <c r="C38" s="189">
        <v>30</v>
      </c>
      <c r="D38" s="190">
        <v>0.19500000000000001</v>
      </c>
      <c r="E38" s="190">
        <v>0.19800000000000001</v>
      </c>
      <c r="F38" s="190">
        <v>2.4500000000000001E-2</v>
      </c>
      <c r="G38" s="189" t="str">
        <f t="shared" si="9"/>
        <v>max. 41734 грн.</v>
      </c>
      <c r="H38" s="189">
        <f t="shared" si="15"/>
        <v>49997.332000000002</v>
      </c>
      <c r="I38" s="189"/>
      <c r="J38" s="189">
        <v>5</v>
      </c>
      <c r="K38" s="191">
        <f t="shared" si="13"/>
        <v>3343.8591015228712</v>
      </c>
      <c r="L38" s="192">
        <v>3.7945892452718476E-2</v>
      </c>
      <c r="M38" s="193">
        <v>1E-3</v>
      </c>
      <c r="N38" s="189">
        <v>500</v>
      </c>
    </row>
    <row r="39" spans="1:14" x14ac:dyDescent="0.25">
      <c r="A39" s="189" t="s">
        <v>115</v>
      </c>
      <c r="B39" s="189">
        <v>41734</v>
      </c>
      <c r="C39" s="189">
        <v>24</v>
      </c>
      <c r="D39" s="190">
        <v>0.19500000000000001</v>
      </c>
      <c r="E39" s="190">
        <v>0.19800000000000001</v>
      </c>
      <c r="F39" s="190">
        <v>2.2499999999999999E-2</v>
      </c>
      <c r="G39" s="189" t="str">
        <f t="shared" si="9"/>
        <v>max. 41734 грн.</v>
      </c>
      <c r="H39" s="189">
        <f t="shared" si="15"/>
        <v>49997.332000000002</v>
      </c>
      <c r="I39" s="189"/>
      <c r="J39" s="189">
        <v>5</v>
      </c>
      <c r="K39" s="191">
        <f t="shared" si="13"/>
        <v>3657.398660898536</v>
      </c>
      <c r="L39" s="192">
        <v>3.336998686596309E-2</v>
      </c>
      <c r="M39" s="193">
        <v>1E-3</v>
      </c>
      <c r="N39" s="189">
        <v>500</v>
      </c>
    </row>
    <row r="40" spans="1:14" x14ac:dyDescent="0.25">
      <c r="A40" s="189" t="s">
        <v>116</v>
      </c>
      <c r="B40" s="189">
        <v>41909</v>
      </c>
      <c r="C40" s="189">
        <v>18</v>
      </c>
      <c r="D40" s="190">
        <v>0.19500000000000001</v>
      </c>
      <c r="E40" s="190">
        <v>0.193</v>
      </c>
      <c r="F40" s="190">
        <v>1.95E-2</v>
      </c>
      <c r="G40" s="189" t="str">
        <f t="shared" si="9"/>
        <v>max. 41909 грн.</v>
      </c>
      <c r="H40" s="189">
        <f t="shared" si="15"/>
        <v>49997.436999999998</v>
      </c>
      <c r="I40" s="189"/>
      <c r="J40" s="189">
        <v>5</v>
      </c>
      <c r="K40" s="191">
        <f t="shared" si="13"/>
        <v>4200.9392241369078</v>
      </c>
      <c r="L40" s="192">
        <v>2.7700662283372698E-2</v>
      </c>
      <c r="M40" s="193">
        <v>1E-3</v>
      </c>
      <c r="N40" s="189">
        <v>500</v>
      </c>
    </row>
    <row r="41" spans="1:14" x14ac:dyDescent="0.25">
      <c r="A41" s="189" t="s">
        <v>117</v>
      </c>
      <c r="B41" s="189">
        <v>41909</v>
      </c>
      <c r="C41" s="189">
        <v>12</v>
      </c>
      <c r="D41" s="190">
        <v>0.19500000000000001</v>
      </c>
      <c r="E41" s="190">
        <v>0.193</v>
      </c>
      <c r="F41" s="190">
        <v>1.4999999999999999E-2</v>
      </c>
      <c r="G41" s="189" t="str">
        <f t="shared" si="9"/>
        <v>max. 41909 грн.</v>
      </c>
      <c r="H41" s="189">
        <f t="shared" si="15"/>
        <v>49997.436999999998</v>
      </c>
      <c r="I41" s="189"/>
      <c r="J41" s="189">
        <v>5</v>
      </c>
      <c r="K41" s="191">
        <f t="shared" si="13"/>
        <v>5369.4934657320709</v>
      </c>
      <c r="L41" s="192">
        <v>2.0438243898924967E-2</v>
      </c>
      <c r="M41" s="193">
        <v>1E-3</v>
      </c>
      <c r="N41" s="189">
        <v>500</v>
      </c>
    </row>
    <row r="42" spans="1:14" x14ac:dyDescent="0.25">
      <c r="A42" s="194" t="s">
        <v>118</v>
      </c>
      <c r="B42" s="194">
        <v>21738</v>
      </c>
      <c r="C42" s="194">
        <v>30</v>
      </c>
      <c r="D42" s="195">
        <v>0.16500000000000001</v>
      </c>
      <c r="E42" s="195">
        <v>0.153</v>
      </c>
      <c r="F42" s="195">
        <v>2.8500000000000001E-2</v>
      </c>
      <c r="G42" s="194" t="str">
        <f t="shared" si="9"/>
        <v>max. 21738 грн.</v>
      </c>
      <c r="H42" s="194">
        <f>B42+B42*E42</f>
        <v>25063.914000000001</v>
      </c>
      <c r="I42" s="194"/>
      <c r="J42" s="194">
        <v>6</v>
      </c>
      <c r="K42" s="196">
        <f t="shared" si="13"/>
        <v>1739.5636239647383</v>
      </c>
      <c r="L42" s="197">
        <v>4.2103457690743029E-2</v>
      </c>
      <c r="M42" s="198">
        <v>1E-3</v>
      </c>
      <c r="N42" s="179">
        <v>500</v>
      </c>
    </row>
    <row r="43" spans="1:14" x14ac:dyDescent="0.25">
      <c r="A43" s="194" t="s">
        <v>119</v>
      </c>
      <c r="B43" s="194">
        <v>21738</v>
      </c>
      <c r="C43" s="194">
        <v>24</v>
      </c>
      <c r="D43" s="195">
        <v>0.16500000000000001</v>
      </c>
      <c r="E43" s="195">
        <v>0.153</v>
      </c>
      <c r="F43" s="195">
        <v>2.6499999999999999E-2</v>
      </c>
      <c r="G43" s="194" t="str">
        <f t="shared" si="9"/>
        <v>max. 21738 грн.</v>
      </c>
      <c r="H43" s="194">
        <f t="shared" ref="H43:H45" si="16">B43+B43*E43</f>
        <v>25063.914000000001</v>
      </c>
      <c r="I43" s="194"/>
      <c r="J43" s="194">
        <v>6</v>
      </c>
      <c r="K43" s="196">
        <f t="shared" si="13"/>
        <v>1897.3972234301268</v>
      </c>
      <c r="L43" s="197">
        <v>3.7463897720353558E-2</v>
      </c>
      <c r="M43" s="198">
        <v>1E-3</v>
      </c>
      <c r="N43" s="179">
        <v>500</v>
      </c>
    </row>
    <row r="44" spans="1:14" x14ac:dyDescent="0.25">
      <c r="A44" s="194" t="s">
        <v>120</v>
      </c>
      <c r="B44" s="194">
        <v>21833</v>
      </c>
      <c r="C44" s="194">
        <v>18</v>
      </c>
      <c r="D44" s="195">
        <v>0.16500000000000001</v>
      </c>
      <c r="E44" s="195">
        <v>0.14799999999999999</v>
      </c>
      <c r="F44" s="195">
        <v>2.4E-2</v>
      </c>
      <c r="G44" s="194" t="str">
        <f t="shared" si="9"/>
        <v>max. 21833 грн.</v>
      </c>
      <c r="H44" s="194">
        <f t="shared" si="16"/>
        <v>25064.284</v>
      </c>
      <c r="I44" s="194"/>
      <c r="J44" s="194">
        <v>6</v>
      </c>
      <c r="K44" s="196">
        <f t="shared" si="13"/>
        <v>2182.923916063678</v>
      </c>
      <c r="L44" s="197">
        <v>3.2244721803562713E-2</v>
      </c>
      <c r="M44" s="198">
        <v>1E-3</v>
      </c>
      <c r="N44" s="179">
        <v>500</v>
      </c>
    </row>
    <row r="45" spans="1:14" x14ac:dyDescent="0.25">
      <c r="A45" s="194" t="s">
        <v>121</v>
      </c>
      <c r="B45" s="194">
        <v>21833</v>
      </c>
      <c r="C45" s="194">
        <v>12</v>
      </c>
      <c r="D45" s="195">
        <v>0.16500000000000001</v>
      </c>
      <c r="E45" s="195">
        <v>0.14799999999999999</v>
      </c>
      <c r="F45" s="195">
        <v>2.0500000000000001E-2</v>
      </c>
      <c r="G45" s="194" t="str">
        <f t="shared" si="9"/>
        <v>max. 21833 грн.</v>
      </c>
      <c r="H45" s="194">
        <f t="shared" si="16"/>
        <v>25064.284</v>
      </c>
      <c r="I45" s="194"/>
      <c r="J45" s="194">
        <v>6</v>
      </c>
      <c r="K45" s="196">
        <f t="shared" si="13"/>
        <v>2793.8564983250853</v>
      </c>
      <c r="L45" s="197">
        <v>2.5946592585317407E-2</v>
      </c>
      <c r="M45" s="198">
        <v>1E-3</v>
      </c>
      <c r="N45" s="179">
        <v>500</v>
      </c>
    </row>
    <row r="46" spans="1:14" x14ac:dyDescent="0.25">
      <c r="A46" s="199" t="s">
        <v>69</v>
      </c>
      <c r="B46" s="199">
        <v>80128</v>
      </c>
      <c r="C46" s="199">
        <v>48</v>
      </c>
      <c r="D46" s="200">
        <v>0.155</v>
      </c>
      <c r="E46" s="200">
        <v>0.248</v>
      </c>
      <c r="F46" s="200">
        <v>4.9000000000000002E-2</v>
      </c>
      <c r="G46" s="199" t="str">
        <f t="shared" si="9"/>
        <v>max. 80128 грн.</v>
      </c>
      <c r="H46" s="199">
        <f>B46+B46*E46</f>
        <v>99999.744000000006</v>
      </c>
      <c r="I46" s="199"/>
      <c r="J46" s="199">
        <v>7</v>
      </c>
      <c r="K46" s="201">
        <f t="shared" si="13"/>
        <v>7708.4661557813542</v>
      </c>
      <c r="L46" s="202">
        <v>5.9650750456607074E-2</v>
      </c>
      <c r="M46" s="203">
        <v>5.0000000000000001E-4</v>
      </c>
      <c r="N46" s="199">
        <v>40160</v>
      </c>
    </row>
    <row r="47" spans="1:14" x14ac:dyDescent="0.25">
      <c r="A47" s="199" t="s">
        <v>70</v>
      </c>
      <c r="B47" s="199">
        <v>80128</v>
      </c>
      <c r="C47" s="199">
        <v>36</v>
      </c>
      <c r="D47" s="200">
        <v>0.155</v>
      </c>
      <c r="E47" s="200">
        <v>0.248</v>
      </c>
      <c r="F47" s="200">
        <v>4.4499999999999998E-2</v>
      </c>
      <c r="G47" s="199" t="str">
        <f t="shared" si="9"/>
        <v>max. 80128 грн.</v>
      </c>
      <c r="H47" s="199">
        <f t="shared" ref="H47:H51" si="17">B47+B47*E47</f>
        <v>99999.744000000006</v>
      </c>
      <c r="I47" s="199"/>
      <c r="J47" s="199">
        <v>7</v>
      </c>
      <c r="K47" s="201">
        <f t="shared" si="13"/>
        <v>7941.047773045203</v>
      </c>
      <c r="L47" s="202">
        <v>6.0742888037843931E-2</v>
      </c>
      <c r="M47" s="203">
        <v>1E-3</v>
      </c>
      <c r="N47" s="199">
        <v>40160</v>
      </c>
    </row>
    <row r="48" spans="1:14" x14ac:dyDescent="0.25">
      <c r="A48" s="199" t="s">
        <v>71</v>
      </c>
      <c r="B48" s="199">
        <v>80128</v>
      </c>
      <c r="C48" s="199">
        <v>30</v>
      </c>
      <c r="D48" s="200">
        <v>0.155</v>
      </c>
      <c r="E48" s="200">
        <v>0.248</v>
      </c>
      <c r="F48" s="200">
        <v>4.2000000000000003E-2</v>
      </c>
      <c r="G48" s="199" t="str">
        <f t="shared" si="9"/>
        <v>max. 80128 грн.</v>
      </c>
      <c r="H48" s="199">
        <f t="shared" si="17"/>
        <v>99999.744000000006</v>
      </c>
      <c r="I48" s="199"/>
      <c r="J48" s="199">
        <v>7</v>
      </c>
      <c r="K48" s="201">
        <f t="shared" si="13"/>
        <v>8241.9682552618106</v>
      </c>
      <c r="L48" s="202">
        <v>5.5656473742502315E-2</v>
      </c>
      <c r="M48" s="203">
        <v>1E-3</v>
      </c>
      <c r="N48" s="199">
        <v>40160</v>
      </c>
    </row>
    <row r="49" spans="1:14" x14ac:dyDescent="0.25">
      <c r="A49" s="199" t="s">
        <v>72</v>
      </c>
      <c r="B49" s="199">
        <v>80128</v>
      </c>
      <c r="C49" s="199">
        <v>24</v>
      </c>
      <c r="D49" s="200">
        <v>0.155</v>
      </c>
      <c r="E49" s="200">
        <v>0.248</v>
      </c>
      <c r="F49" s="200">
        <v>3.85E-2</v>
      </c>
      <c r="G49" s="199" t="str">
        <f t="shared" si="9"/>
        <v>max. 80128 грн.</v>
      </c>
      <c r="H49" s="199">
        <f t="shared" si="17"/>
        <v>99999.744000000006</v>
      </c>
      <c r="I49" s="199"/>
      <c r="J49" s="199">
        <v>7</v>
      </c>
      <c r="K49" s="201">
        <f t="shared" si="13"/>
        <v>8722.4319183729385</v>
      </c>
      <c r="L49" s="202">
        <v>4.9495490188896242E-2</v>
      </c>
      <c r="M49" s="203">
        <v>1E-3</v>
      </c>
      <c r="N49" s="199">
        <v>40160</v>
      </c>
    </row>
    <row r="50" spans="1:14" x14ac:dyDescent="0.25">
      <c r="A50" s="199" t="s">
        <v>73</v>
      </c>
      <c r="B50" s="199">
        <v>80450</v>
      </c>
      <c r="C50" s="199">
        <v>18</v>
      </c>
      <c r="D50" s="200">
        <v>0.155</v>
      </c>
      <c r="E50" s="200">
        <v>0.24299999999999999</v>
      </c>
      <c r="F50" s="200">
        <v>3.4000000000000002E-2</v>
      </c>
      <c r="G50" s="199" t="str">
        <f t="shared" si="9"/>
        <v>max. 80450 грн.</v>
      </c>
      <c r="H50" s="199">
        <f t="shared" si="17"/>
        <v>99999.35</v>
      </c>
      <c r="I50" s="199"/>
      <c r="J50" s="199">
        <v>7</v>
      </c>
      <c r="K50" s="201">
        <f t="shared" si="13"/>
        <v>9661.9726743265237</v>
      </c>
      <c r="L50" s="202">
        <v>4.2259681883401679E-2</v>
      </c>
      <c r="M50" s="203">
        <v>1E-3</v>
      </c>
      <c r="N50" s="199">
        <v>40322</v>
      </c>
    </row>
    <row r="51" spans="1:14" x14ac:dyDescent="0.25">
      <c r="A51" s="199" t="s">
        <v>74</v>
      </c>
      <c r="B51" s="199">
        <v>80450</v>
      </c>
      <c r="C51" s="199">
        <v>12</v>
      </c>
      <c r="D51" s="200">
        <v>0.155</v>
      </c>
      <c r="E51" s="200">
        <v>0.24299999999999999</v>
      </c>
      <c r="F51" s="200">
        <v>2.75E-2</v>
      </c>
      <c r="G51" s="199" t="str">
        <f t="shared" si="9"/>
        <v>max. 80450 грн.</v>
      </c>
      <c r="H51" s="199">
        <f t="shared" si="17"/>
        <v>99999.35</v>
      </c>
      <c r="I51" s="199"/>
      <c r="J51" s="199">
        <v>7</v>
      </c>
      <c r="K51" s="201">
        <f t="shared" si="13"/>
        <v>11799.364942013697</v>
      </c>
      <c r="L51" s="202">
        <v>3.2949576062479509E-2</v>
      </c>
      <c r="M51" s="203">
        <v>1E-3</v>
      </c>
      <c r="N51" s="199">
        <v>40322</v>
      </c>
    </row>
    <row r="52" spans="1:14" x14ac:dyDescent="0.25">
      <c r="A52" s="142" t="s">
        <v>76</v>
      </c>
      <c r="B52" s="142">
        <v>30000</v>
      </c>
      <c r="C52" s="142">
        <v>36</v>
      </c>
      <c r="D52" s="143">
        <v>1E-4</v>
      </c>
      <c r="E52" s="143">
        <v>0.24</v>
      </c>
      <c r="F52" s="143">
        <v>3.6900000000000002E-2</v>
      </c>
      <c r="G52" s="142" t="str">
        <f t="shared" ref="G52:G62" si="18">I$2&amp;" "&amp;B52&amp;" "&amp;H$2</f>
        <v>max. 30000 грн.</v>
      </c>
      <c r="H52" s="142">
        <f t="shared" ref="H52:H62" si="19">B52+B52*E52</f>
        <v>37200</v>
      </c>
      <c r="I52" s="142"/>
      <c r="J52" s="142">
        <v>8</v>
      </c>
      <c r="K52" s="144">
        <f t="shared" ref="K52:K62" si="20">D52/12/(1-1/POWER(1+D52/12,C52))*H52+H52*F52</f>
        <v>2406.1726466274604</v>
      </c>
      <c r="L52" s="145">
        <v>3.6900000000000002E-2</v>
      </c>
      <c r="M52" s="146">
        <v>0</v>
      </c>
      <c r="N52" s="142">
        <v>1000</v>
      </c>
    </row>
    <row r="53" spans="1:14" x14ac:dyDescent="0.25">
      <c r="A53" s="142" t="s">
        <v>77</v>
      </c>
      <c r="B53" s="142">
        <v>30000</v>
      </c>
      <c r="C53" s="142">
        <v>30</v>
      </c>
      <c r="D53" s="143">
        <v>1E-4</v>
      </c>
      <c r="E53" s="143">
        <v>0.22</v>
      </c>
      <c r="F53" s="143">
        <v>3.6900000000000002E-2</v>
      </c>
      <c r="G53" s="142" t="str">
        <f t="shared" si="18"/>
        <v>max. 30000 грн.</v>
      </c>
      <c r="H53" s="142">
        <f t="shared" si="19"/>
        <v>36600</v>
      </c>
      <c r="I53" s="142"/>
      <c r="J53" s="142">
        <v>9</v>
      </c>
      <c r="K53" s="144">
        <f t="shared" si="20"/>
        <v>2570.6975896741997</v>
      </c>
      <c r="L53" s="145">
        <v>3.6900000000000002E-2</v>
      </c>
      <c r="M53" s="146">
        <v>0</v>
      </c>
      <c r="N53" s="142">
        <v>1000</v>
      </c>
    </row>
    <row r="54" spans="1:14" x14ac:dyDescent="0.25">
      <c r="A54" s="142" t="s">
        <v>78</v>
      </c>
      <c r="B54" s="142">
        <v>30000</v>
      </c>
      <c r="C54" s="142">
        <v>24</v>
      </c>
      <c r="D54" s="143">
        <v>1E-4</v>
      </c>
      <c r="E54" s="143">
        <v>0.2</v>
      </c>
      <c r="F54" s="143">
        <v>3.6900000000000002E-2</v>
      </c>
      <c r="G54" s="142" t="str">
        <f t="shared" si="18"/>
        <v>max. 30000 грн.</v>
      </c>
      <c r="H54" s="142">
        <f t="shared" si="19"/>
        <v>36000</v>
      </c>
      <c r="I54" s="142"/>
      <c r="J54" s="142">
        <v>10</v>
      </c>
      <c r="K54" s="144">
        <f t="shared" si="20"/>
        <v>2828.5562549833548</v>
      </c>
      <c r="L54" s="145">
        <v>3.6900000000000002E-2</v>
      </c>
      <c r="M54" s="146">
        <v>0</v>
      </c>
      <c r="N54" s="142">
        <v>1000</v>
      </c>
    </row>
    <row r="55" spans="1:14" x14ac:dyDescent="0.25">
      <c r="A55" s="142" t="s">
        <v>79</v>
      </c>
      <c r="B55" s="142">
        <v>30000</v>
      </c>
      <c r="C55" s="142">
        <v>18</v>
      </c>
      <c r="D55" s="143">
        <v>1E-4</v>
      </c>
      <c r="E55" s="143">
        <v>0.18</v>
      </c>
      <c r="F55" s="143">
        <v>3.6900000000000002E-2</v>
      </c>
      <c r="G55" s="142" t="str">
        <f t="shared" si="18"/>
        <v>max. 30000 грн.</v>
      </c>
      <c r="H55" s="142">
        <f t="shared" si="19"/>
        <v>35400</v>
      </c>
      <c r="I55" s="142"/>
      <c r="J55" s="142">
        <v>11</v>
      </c>
      <c r="K55" s="144">
        <f t="shared" si="20"/>
        <v>3273.0823647770067</v>
      </c>
      <c r="L55" s="145">
        <v>3.6900000000000002E-2</v>
      </c>
      <c r="M55" s="146">
        <v>0</v>
      </c>
      <c r="N55" s="142">
        <v>1000</v>
      </c>
    </row>
    <row r="56" spans="1:14" x14ac:dyDescent="0.25">
      <c r="A56" s="142" t="s">
        <v>75</v>
      </c>
      <c r="B56" s="142">
        <v>30000</v>
      </c>
      <c r="C56" s="142">
        <v>12</v>
      </c>
      <c r="D56" s="143">
        <v>1E-4</v>
      </c>
      <c r="E56" s="143">
        <v>0.16</v>
      </c>
      <c r="F56" s="143">
        <v>3.6900000000000002E-2</v>
      </c>
      <c r="G56" s="142" t="str">
        <f t="shared" si="18"/>
        <v>max. 30000 грн.</v>
      </c>
      <c r="H56" s="142">
        <f t="shared" si="19"/>
        <v>34800</v>
      </c>
      <c r="I56" s="142"/>
      <c r="J56" s="142">
        <v>12</v>
      </c>
      <c r="K56" s="144">
        <f t="shared" si="20"/>
        <v>4184.2770857184814</v>
      </c>
      <c r="L56" s="145">
        <v>3.6900000000000002E-2</v>
      </c>
      <c r="M56" s="146">
        <v>0</v>
      </c>
      <c r="N56" s="142">
        <v>1000</v>
      </c>
    </row>
    <row r="57" spans="1:14" x14ac:dyDescent="0.25">
      <c r="A57" s="147" t="s">
        <v>122</v>
      </c>
      <c r="B57" s="147">
        <v>130434</v>
      </c>
      <c r="C57" s="147">
        <v>48</v>
      </c>
      <c r="D57" s="148">
        <v>0.15</v>
      </c>
      <c r="E57" s="148">
        <v>0.15</v>
      </c>
      <c r="F57" s="148">
        <v>3.5000000000000003E-2</v>
      </c>
      <c r="G57" s="147" t="str">
        <f t="shared" si="18"/>
        <v>max. 130434 грн.</v>
      </c>
      <c r="H57" s="147">
        <f t="shared" si="19"/>
        <v>149999.1</v>
      </c>
      <c r="I57" s="147"/>
      <c r="J57" s="147">
        <v>4</v>
      </c>
      <c r="K57" s="149">
        <f t="shared" si="20"/>
        <v>9424.5556922979995</v>
      </c>
      <c r="L57" s="150">
        <v>3.5000000000000003E-2</v>
      </c>
      <c r="M57" s="151">
        <v>0</v>
      </c>
      <c r="N57" s="147">
        <v>43478</v>
      </c>
    </row>
    <row r="58" spans="1:14" x14ac:dyDescent="0.25">
      <c r="A58" s="147" t="s">
        <v>123</v>
      </c>
      <c r="B58" s="147">
        <v>130434</v>
      </c>
      <c r="C58" s="147">
        <v>36</v>
      </c>
      <c r="D58" s="148">
        <v>0.15</v>
      </c>
      <c r="E58" s="148">
        <v>0.15</v>
      </c>
      <c r="F58" s="148">
        <v>3.5000000000000003E-2</v>
      </c>
      <c r="G58" s="147" t="str">
        <f t="shared" si="18"/>
        <v>max. 130434 грн.</v>
      </c>
      <c r="H58" s="147">
        <f t="shared" si="19"/>
        <v>149999.1</v>
      </c>
      <c r="I58" s="147"/>
      <c r="J58" s="147">
        <v>4</v>
      </c>
      <c r="K58" s="149">
        <f t="shared" si="20"/>
        <v>10449.736576833471</v>
      </c>
      <c r="L58" s="150">
        <v>3.5000000000000003E-2</v>
      </c>
      <c r="M58" s="151">
        <v>0</v>
      </c>
      <c r="N58" s="147">
        <v>43478</v>
      </c>
    </row>
    <row r="59" spans="1:14" x14ac:dyDescent="0.25">
      <c r="A59" s="147" t="s">
        <v>124</v>
      </c>
      <c r="B59" s="147">
        <v>130434</v>
      </c>
      <c r="C59" s="147">
        <v>30</v>
      </c>
      <c r="D59" s="148">
        <v>0.15</v>
      </c>
      <c r="E59" s="148">
        <v>0.15</v>
      </c>
      <c r="F59" s="148">
        <v>3.5000000000000003E-2</v>
      </c>
      <c r="G59" s="147" t="str">
        <f t="shared" si="18"/>
        <v>max. 130434 грн.</v>
      </c>
      <c r="H59" s="147">
        <f t="shared" si="19"/>
        <v>149999.1</v>
      </c>
      <c r="I59" s="147"/>
      <c r="J59" s="147">
        <v>4</v>
      </c>
      <c r="K59" s="149">
        <f t="shared" si="20"/>
        <v>11276.713854300473</v>
      </c>
      <c r="L59" s="150">
        <v>3.5000000000000003E-2</v>
      </c>
      <c r="M59" s="151">
        <v>0</v>
      </c>
      <c r="N59" s="147">
        <v>43478</v>
      </c>
    </row>
    <row r="60" spans="1:14" x14ac:dyDescent="0.25">
      <c r="A60" s="147" t="s">
        <v>125</v>
      </c>
      <c r="B60" s="147">
        <v>130434</v>
      </c>
      <c r="C60" s="147">
        <v>24</v>
      </c>
      <c r="D60" s="148">
        <v>0.15</v>
      </c>
      <c r="E60" s="148">
        <v>0.15</v>
      </c>
      <c r="F60" s="148">
        <v>3.5000000000000003E-2</v>
      </c>
      <c r="G60" s="147" t="str">
        <f t="shared" si="18"/>
        <v>max. 130434 грн.</v>
      </c>
      <c r="H60" s="147">
        <f t="shared" si="19"/>
        <v>149999.1</v>
      </c>
      <c r="I60" s="147"/>
      <c r="J60" s="147">
        <v>4</v>
      </c>
      <c r="K60" s="149">
        <f t="shared" si="20"/>
        <v>12522.922069059417</v>
      </c>
      <c r="L60" s="150">
        <v>3.5000000000000003E-2</v>
      </c>
      <c r="M60" s="151">
        <v>0</v>
      </c>
      <c r="N60" s="147">
        <v>43478</v>
      </c>
    </row>
    <row r="61" spans="1:14" x14ac:dyDescent="0.25">
      <c r="A61" s="147" t="s">
        <v>126</v>
      </c>
      <c r="B61" s="147">
        <v>130434</v>
      </c>
      <c r="C61" s="147">
        <v>18</v>
      </c>
      <c r="D61" s="148">
        <v>0.15</v>
      </c>
      <c r="E61" s="148">
        <v>0.15</v>
      </c>
      <c r="F61" s="148">
        <v>3.5000000000000003E-2</v>
      </c>
      <c r="G61" s="147" t="str">
        <f t="shared" si="18"/>
        <v>max. 130434 грн.</v>
      </c>
      <c r="H61" s="147">
        <f t="shared" si="19"/>
        <v>149999.1</v>
      </c>
      <c r="I61" s="147"/>
      <c r="J61" s="147">
        <v>4</v>
      </c>
      <c r="K61" s="149">
        <f t="shared" si="20"/>
        <v>14607.630443466491</v>
      </c>
      <c r="L61" s="150">
        <v>3.5000000000000003E-2</v>
      </c>
      <c r="M61" s="151">
        <v>0</v>
      </c>
      <c r="N61" s="147">
        <v>43478</v>
      </c>
    </row>
    <row r="62" spans="1:14" x14ac:dyDescent="0.25">
      <c r="A62" s="147" t="s">
        <v>127</v>
      </c>
      <c r="B62" s="147">
        <v>130434</v>
      </c>
      <c r="C62" s="147">
        <v>12</v>
      </c>
      <c r="D62" s="148">
        <v>0.15</v>
      </c>
      <c r="E62" s="148">
        <v>0.15</v>
      </c>
      <c r="F62" s="148">
        <v>3.5000000000000003E-2</v>
      </c>
      <c r="G62" s="147" t="str">
        <f t="shared" si="18"/>
        <v>max. 130434 грн.</v>
      </c>
      <c r="H62" s="147">
        <f t="shared" si="19"/>
        <v>149999.1</v>
      </c>
      <c r="I62" s="147"/>
      <c r="J62" s="147">
        <v>4</v>
      </c>
      <c r="K62" s="149">
        <f t="shared" si="20"/>
        <v>18788.634119292437</v>
      </c>
      <c r="L62" s="150">
        <v>3.5000000000000003E-2</v>
      </c>
      <c r="M62" s="151">
        <v>0</v>
      </c>
      <c r="N62" s="147">
        <v>43478</v>
      </c>
    </row>
  </sheetData>
  <sheetProtection password="B63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300" t="s">
        <v>13</v>
      </c>
      <c r="B1" s="301"/>
      <c r="C1" s="301"/>
      <c r="D1" s="302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95" t="s">
        <v>30</v>
      </c>
      <c r="B3" s="296"/>
      <c r="C3" s="296"/>
      <c r="D3" s="297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95" t="s">
        <v>29</v>
      </c>
      <c r="B5" s="296"/>
      <c r="C5" s="296"/>
      <c r="D5" s="297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95" t="s">
        <v>31</v>
      </c>
      <c r="B7" s="296"/>
      <c r="C7" s="296"/>
      <c r="D7" s="297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95" t="s">
        <v>45</v>
      </c>
      <c r="B9" s="296"/>
      <c r="C9" s="296"/>
      <c r="D9" s="297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95" t="s">
        <v>44</v>
      </c>
      <c r="B12" s="296"/>
      <c r="C12" s="296"/>
      <c r="D12" s="297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95" t="s">
        <v>38</v>
      </c>
      <c r="B14" s="296"/>
      <c r="C14" s="296"/>
      <c r="D14" s="297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95" t="s">
        <v>43</v>
      </c>
      <c r="B16" s="296"/>
      <c r="C16" s="296"/>
      <c r="D16" s="297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61"/>
      <c r="F17" s="162"/>
      <c r="G17" s="162"/>
      <c r="H17" s="15"/>
    </row>
    <row r="18" spans="1:8" x14ac:dyDescent="0.25">
      <c r="A18" s="57" t="s">
        <v>37</v>
      </c>
      <c r="B18" s="57"/>
      <c r="C18" s="57"/>
      <c r="D18" s="57"/>
      <c r="E18" s="161"/>
      <c r="F18" s="162"/>
      <c r="G18" s="162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98" t="s">
        <v>5</v>
      </c>
      <c r="B20" s="299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303" t="s">
        <v>16</v>
      </c>
      <c r="B21" s="304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303" t="s">
        <v>6</v>
      </c>
      <c r="B22" s="304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303" t="s">
        <v>14</v>
      </c>
      <c r="B23" s="304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303" t="s">
        <v>15</v>
      </c>
      <c r="B24" s="304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306" t="s">
        <v>36</v>
      </c>
      <c r="B27" s="307"/>
      <c r="C27" s="307"/>
      <c r="D27" s="307"/>
      <c r="E27" s="307"/>
      <c r="F27" s="307"/>
      <c r="G27" s="308"/>
      <c r="H27" s="72"/>
    </row>
    <row r="28" spans="1:8" ht="31.2" thickBot="1" x14ac:dyDescent="0.3">
      <c r="A28" s="309" t="s">
        <v>2</v>
      </c>
      <c r="B28" s="310"/>
      <c r="C28" s="100" t="s">
        <v>34</v>
      </c>
      <c r="D28" s="100" t="s">
        <v>32</v>
      </c>
      <c r="E28" s="100" t="s">
        <v>33</v>
      </c>
      <c r="F28" s="311" t="s">
        <v>35</v>
      </c>
      <c r="G28" s="312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305"/>
      <c r="E30" s="305"/>
      <c r="F30" s="305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21:B21"/>
    <mergeCell ref="A22:B22"/>
    <mergeCell ref="D30:F30"/>
    <mergeCell ref="A24:B24"/>
    <mergeCell ref="A27:G27"/>
    <mergeCell ref="A28:B28"/>
    <mergeCell ref="F28:G28"/>
    <mergeCell ref="A23:B23"/>
    <mergeCell ref="A12:D12"/>
    <mergeCell ref="A14:D14"/>
    <mergeCell ref="A16:D16"/>
    <mergeCell ref="A20:B20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F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VLOOKUP('Кредит готівкою ПУМБ'!H2,Лист2!A:N,14,FALSE)</f>
        <v>1000</v>
      </c>
      <c r="F2" s="118">
        <f>VLOOKUP(H$2,Лист2!$A:$G,2,0)</f>
        <v>40322</v>
      </c>
      <c r="G2" s="135">
        <f ca="1">TODAY()</f>
        <v>44089</v>
      </c>
      <c r="H2" s="286" t="s">
        <v>55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32258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40322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32258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39999.919999999998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1E-4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0.24</v>
      </c>
      <c r="G11" s="273"/>
      <c r="H11" s="273"/>
      <c r="I11" s="3"/>
      <c r="J11" s="53"/>
      <c r="K11" s="132"/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3.6900000000000002E-2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36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7741.92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39999.919999999998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2587.2772411694441</v>
      </c>
      <c r="G18" s="277"/>
      <c r="H18" s="278"/>
      <c r="I18" s="123"/>
      <c r="J18" s="54"/>
      <c r="K18" s="132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60883.893728000039</v>
      </c>
      <c r="G20" s="279"/>
      <c r="H20" s="279"/>
      <c r="I20" s="1"/>
      <c r="J20" s="55"/>
      <c r="K20" s="132" t="str">
        <f>Лист2!A10</f>
        <v>Термін, 36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Лист2!A11</f>
        <v>Термін, 30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93141.893728000039</v>
      </c>
      <c r="G22" s="273"/>
      <c r="H22" s="273"/>
      <c r="I22" s="1"/>
      <c r="J22" s="55"/>
      <c r="K22" s="132" t="str">
        <f>Лист2!A12</f>
        <v>Термін, 24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Лист2!A13</f>
        <v>Термін, 18 міс. (ПУМБ)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1.3598465085029601</v>
      </c>
      <c r="G24" s="159"/>
      <c r="H24" s="22"/>
      <c r="I24" s="1"/>
      <c r="J24" s="1"/>
      <c r="K24" s="132" t="str">
        <f>Лист2!A14</f>
        <v>Термін, 12 міс. (ПУМБ)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e">
        <f>Лист2!#REF!</f>
        <v>#REF!</v>
      </c>
    </row>
    <row r="27" spans="1:29" ht="31.2" customHeight="1" thickBot="1" x14ac:dyDescent="0.3">
      <c r="A27" s="1"/>
      <c r="B27" s="157" t="s">
        <v>39</v>
      </c>
      <c r="C27" s="157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e">
        <f>Лист2!#REF!</f>
        <v>#REF!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-32258</v>
      </c>
      <c r="H28" s="272"/>
      <c r="I28" s="3"/>
      <c r="K28" s="132" t="str">
        <f>Лист2!A15</f>
        <v>Термін, 36 міс. (ПУМБ БК)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1110.9501931694442</v>
      </c>
      <c r="E29" s="166">
        <f>IF(B29&lt;=$F$15,(E$17*(VLOOKUP($H$2,Лист2!$A:$N,12,0)-(B29-1)*VLOOKUP($H$2,Лист2!$A:$N,13,0))),0)</f>
        <v>1475.9970479999999</v>
      </c>
      <c r="F29" s="166">
        <f>ROUND(E$17*F$9*30/365,2)</f>
        <v>0.33</v>
      </c>
      <c r="G29" s="269">
        <f>SUM(D29:F29)</f>
        <v>2587.2772411694441</v>
      </c>
      <c r="H29" s="269"/>
      <c r="I29" s="3"/>
      <c r="K29" s="132" t="str">
        <f>Лист2!A16</f>
        <v>Термін, 30 міс. (ПУМБ БК)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1110.9601931694442</v>
      </c>
      <c r="E30" s="168">
        <f>IF(B30&lt;=$F$15,(E$17*(VLOOKUP($H$2,Лист2!$A:$N,12,0)-(B30-1)*VLOOKUP($H$2,Лист2!$A:$N,13,0))),0)</f>
        <v>1475.9970479999999</v>
      </c>
      <c r="F30" s="169">
        <f>ROUND((E$17-SUM(D$29:D29))*F$9*30/365,2)</f>
        <v>0.32</v>
      </c>
      <c r="G30" s="269">
        <f t="shared" ref="G30:G88" si="1">SUM(D30:F30)</f>
        <v>2587.2772411694446</v>
      </c>
      <c r="H30" s="269"/>
      <c r="I30" s="3"/>
      <c r="K30" s="132" t="str">
        <f>Лист2!A17</f>
        <v>Термін, 24 міс. (ПУМБ БК)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1110.9701931694442</v>
      </c>
      <c r="E31" s="168">
        <f>IF(B31&lt;=$F$15,(E$17*(VLOOKUP($H$2,Лист2!$A:$N,12,0)-(B31-1)*VLOOKUP($H$2,Лист2!$A:$N,13,0))),0)</f>
        <v>1475.9970479999999</v>
      </c>
      <c r="F31" s="169">
        <f>ROUND((E$17-SUM(D$29:D30))*F$9*30/365,2)</f>
        <v>0.31</v>
      </c>
      <c r="G31" s="269">
        <f t="shared" si="1"/>
        <v>2587.2772411694441</v>
      </c>
      <c r="H31" s="269"/>
      <c r="I31" s="3"/>
      <c r="K31" s="132" t="str">
        <f>Лист2!A18</f>
        <v>Термін, 18 міс. (ПУМБ БК)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1110.9801931694442</v>
      </c>
      <c r="E32" s="168">
        <f>IF(B32&lt;=$F$15,(E$17*(VLOOKUP($H$2,Лист2!$A:$N,12,0)-(B32-1)*VLOOKUP($H$2,Лист2!$A:$N,13,0))),0)</f>
        <v>1475.9970479999999</v>
      </c>
      <c r="F32" s="169">
        <f>ROUND((E$17-SUM(D$29:D31))*F$9*30/365,2)</f>
        <v>0.3</v>
      </c>
      <c r="G32" s="269">
        <f t="shared" si="1"/>
        <v>2587.2772411694441</v>
      </c>
      <c r="H32" s="269"/>
      <c r="I32" s="3"/>
      <c r="K32" s="132" t="str">
        <f>Лист2!A19</f>
        <v>Термін, 12 міс. (ПУМБ БК)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1110.9901931694442</v>
      </c>
      <c r="E33" s="168">
        <f>IF(B33&lt;=$F$15,(E$17*(VLOOKUP($H$2,Лист2!$A:$N,12,0)-(B33-1)*VLOOKUP($H$2,Лист2!$A:$N,13,0))),0)</f>
        <v>1475.9970479999999</v>
      </c>
      <c r="F33" s="169">
        <f>ROUND((E$17-SUM(D$29:D32))*F$9*30/365,2)</f>
        <v>0.28999999999999998</v>
      </c>
      <c r="G33" s="269">
        <f t="shared" si="1"/>
        <v>2587.2772411694441</v>
      </c>
      <c r="H33" s="269"/>
      <c r="I33" s="3"/>
      <c r="K33" s="132"/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1111.0001931694442</v>
      </c>
      <c r="E34" s="168">
        <f>IF(B34&lt;=$F$15,(E$17*(VLOOKUP($H$2,Лист2!$A:$N,12,0)-(B34-1)*VLOOKUP($H$2,Лист2!$A:$N,13,0))),0)</f>
        <v>1475.9970479999999</v>
      </c>
      <c r="F34" s="169">
        <f>ROUND((E$17-SUM(D$29:D33))*F$9*30/365,2)</f>
        <v>0.28000000000000003</v>
      </c>
      <c r="G34" s="269">
        <f t="shared" si="1"/>
        <v>2587.2772411694446</v>
      </c>
      <c r="H34" s="269"/>
      <c r="I34" s="3"/>
      <c r="K34" s="132"/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1111.0101931694442</v>
      </c>
      <c r="E35" s="168">
        <f>IF(B35&lt;=$F$15,(E$17*(VLOOKUP($H$2,Лист2!$A:$N,12,0)-(B35-1)*VLOOKUP($H$2,Лист2!$A:$N,13,0))),0)</f>
        <v>1475.9970479999999</v>
      </c>
      <c r="F35" s="169">
        <f>ROUND((E$17-SUM(D$29:D34))*F$9*30/365,2)</f>
        <v>0.27</v>
      </c>
      <c r="G35" s="269">
        <f t="shared" si="1"/>
        <v>2587.2772411694441</v>
      </c>
      <c r="H35" s="269"/>
      <c r="I35" s="3"/>
      <c r="K35" s="132"/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1111.0201931694442</v>
      </c>
      <c r="E36" s="168">
        <f>IF(B36&lt;=$F$15,(E$17*(VLOOKUP($H$2,Лист2!$A:$N,12,0)-(B36-1)*VLOOKUP($H$2,Лист2!$A:$N,13,0))),0)</f>
        <v>1475.9970479999999</v>
      </c>
      <c r="F36" s="169">
        <f>ROUND((E$17-SUM(D$29:D35))*F$9*30/365,2)</f>
        <v>0.26</v>
      </c>
      <c r="G36" s="269">
        <f t="shared" si="1"/>
        <v>2587.2772411694441</v>
      </c>
      <c r="H36" s="269"/>
      <c r="I36" s="3"/>
      <c r="K36" s="132"/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1111.0201931694442</v>
      </c>
      <c r="E37" s="168">
        <f>IF(B37&lt;=$F$15,(E$17*(VLOOKUP($H$2,Лист2!$A:$N,12,0)-(B37-1)*VLOOKUP($H$2,Лист2!$A:$N,13,0))),0)</f>
        <v>1475.9970479999999</v>
      </c>
      <c r="F37" s="169">
        <f>ROUND((E$17-SUM(D$29:D36))*F$9*30/365,2)</f>
        <v>0.26</v>
      </c>
      <c r="G37" s="269">
        <f t="shared" si="1"/>
        <v>2587.2772411694441</v>
      </c>
      <c r="H37" s="269"/>
      <c r="I37" s="3"/>
      <c r="K37" s="132"/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1111.0301931694441</v>
      </c>
      <c r="E38" s="168">
        <f>IF(B38&lt;=$F$15,(E$17*(VLOOKUP($H$2,Лист2!$A:$N,12,0)-(B38-1)*VLOOKUP($H$2,Лист2!$A:$N,13,0))),0)</f>
        <v>1475.9970479999999</v>
      </c>
      <c r="F38" s="169">
        <f>ROUND((E$17-SUM(D$29:D37))*F$9*30/365,2)</f>
        <v>0.25</v>
      </c>
      <c r="G38" s="269">
        <f t="shared" si="1"/>
        <v>2587.2772411694441</v>
      </c>
      <c r="H38" s="269"/>
      <c r="I38" s="3"/>
      <c r="K38" s="132"/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1111.0401931694441</v>
      </c>
      <c r="E39" s="168">
        <f>IF(B39&lt;=$F$15,(E$17*(VLOOKUP($H$2,Лист2!$A:$N,12,0)-(B39-1)*VLOOKUP($H$2,Лист2!$A:$N,13,0))),0)</f>
        <v>1475.9970479999999</v>
      </c>
      <c r="F39" s="169">
        <f>ROUND((E$17-SUM(D$29:D38))*F$9*30/365,2)</f>
        <v>0.24</v>
      </c>
      <c r="G39" s="269">
        <f t="shared" si="1"/>
        <v>2587.2772411694441</v>
      </c>
      <c r="H39" s="269"/>
      <c r="I39" s="3"/>
      <c r="K39" s="132"/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1111.0501931694441</v>
      </c>
      <c r="E40" s="168">
        <f>IF(B40&lt;=$F$15,(E$17*(VLOOKUP($H$2,Лист2!$A:$N,12,0)-(B40-1)*VLOOKUP($H$2,Лист2!$A:$N,13,0))),0)</f>
        <v>1475.9970479999999</v>
      </c>
      <c r="F40" s="169">
        <f>ROUND((E$17-SUM(D$29:D39))*F$9*30/365,2)</f>
        <v>0.23</v>
      </c>
      <c r="G40" s="269">
        <f t="shared" si="1"/>
        <v>2587.2772411694441</v>
      </c>
      <c r="H40" s="269"/>
      <c r="I40" s="3"/>
      <c r="K40" s="132" t="str">
        <f>Лист2!A20</f>
        <v>Термін, 36 міс. (СФ)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1111.0601931694441</v>
      </c>
      <c r="E41" s="168">
        <f>IF(B41&lt;=$F$15,(E$17*(VLOOKUP($H$2,Лист2!$A:$N,12,0)-(B41-1)*VLOOKUP($H$2,Лист2!$A:$N,13,0))),0)</f>
        <v>1475.9970479999999</v>
      </c>
      <c r="F41" s="169">
        <f>ROUND((E$17-SUM(D$29:D40))*F$9*30/365,2)</f>
        <v>0.22</v>
      </c>
      <c r="G41" s="269">
        <f t="shared" si="1"/>
        <v>2587.2772411694436</v>
      </c>
      <c r="H41" s="269"/>
      <c r="I41" s="3"/>
      <c r="K41" s="132" t="str">
        <f>Лист2!A21</f>
        <v>Термін, 24 міс. (СФ)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1111.0701931694441</v>
      </c>
      <c r="E42" s="168">
        <f>IF(B42&lt;=$F$15,(E$17*(VLOOKUP($H$2,Лист2!$A:$N,12,0)-(B42-1)*VLOOKUP($H$2,Лист2!$A:$N,13,0))),0)</f>
        <v>1475.9970479999999</v>
      </c>
      <c r="F42" s="169">
        <f>ROUND((E$17-SUM(D$29:D41))*F$9*30/365,2)</f>
        <v>0.21</v>
      </c>
      <c r="G42" s="269">
        <f t="shared" si="1"/>
        <v>2587.2772411694441</v>
      </c>
      <c r="H42" s="269"/>
      <c r="I42" s="3"/>
      <c r="K42" s="132" t="str">
        <f>Лист2!A22</f>
        <v>Термін, 18 міс. (СФ)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1111.0801931694441</v>
      </c>
      <c r="E43" s="168">
        <f>IF(B43&lt;=$F$15,(E$17*(VLOOKUP($H$2,Лист2!$A:$N,12,0)-(B43-1)*VLOOKUP($H$2,Лист2!$A:$N,13,0))),0)</f>
        <v>1475.9970479999999</v>
      </c>
      <c r="F43" s="169">
        <f>ROUND((E$17-SUM(D$29:D42))*F$9*30/365,2)</f>
        <v>0.2</v>
      </c>
      <c r="G43" s="269">
        <f t="shared" si="1"/>
        <v>2587.2772411694441</v>
      </c>
      <c r="H43" s="269"/>
      <c r="I43" s="3"/>
      <c r="K43" s="132" t="str">
        <f>Лист2!A23</f>
        <v>Термін, 12 міс. (СФ)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1111.0901931694441</v>
      </c>
      <c r="E44" s="168">
        <f>IF(B44&lt;=$F$15,(E$17*(VLOOKUP($H$2,Лист2!$A:$N,12,0)-(B44-1)*VLOOKUP($H$2,Лист2!$A:$N,13,0))),0)</f>
        <v>1475.9970479999999</v>
      </c>
      <c r="F44" s="169">
        <f>ROUND((E$17-SUM(D$29:D43))*F$9*30/365,2)</f>
        <v>0.19</v>
      </c>
      <c r="G44" s="269">
        <f t="shared" si="1"/>
        <v>2587.2772411694441</v>
      </c>
      <c r="H44" s="269"/>
      <c r="I44" s="3"/>
      <c r="K44" s="132"/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1111.1001931694441</v>
      </c>
      <c r="E45" s="168">
        <f>IF(B45&lt;=$F$15,(E$17*(VLOOKUP($H$2,Лист2!$A:$N,12,0)-(B45-1)*VLOOKUP($H$2,Лист2!$A:$N,13,0))),0)</f>
        <v>1475.9970479999999</v>
      </c>
      <c r="F45" s="169">
        <f>ROUND((E$17-SUM(D$29:D44))*F$9*30/365,2)</f>
        <v>0.18</v>
      </c>
      <c r="G45" s="269">
        <f t="shared" si="1"/>
        <v>2587.2772411694436</v>
      </c>
      <c r="H45" s="269"/>
      <c r="I45" s="3"/>
      <c r="K45" s="132"/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1111.1101931694441</v>
      </c>
      <c r="E46" s="168">
        <f>IF(B46&lt;=$F$15,(E$17*(VLOOKUP($H$2,Лист2!$A:$N,12,0)-(B46-1)*VLOOKUP($H$2,Лист2!$A:$N,13,0))),0)</f>
        <v>1475.9970479999999</v>
      </c>
      <c r="F46" s="169">
        <f>ROUND((E$17-SUM(D$29:D45))*F$9*30/365,2)</f>
        <v>0.17</v>
      </c>
      <c r="G46" s="269">
        <f t="shared" si="1"/>
        <v>2587.2772411694441</v>
      </c>
      <c r="H46" s="269"/>
      <c r="I46" s="3"/>
      <c r="K46" s="132"/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1111.1201931694441</v>
      </c>
      <c r="E47" s="168">
        <f>IF(B47&lt;=$F$15,(E$17*(VLOOKUP($H$2,Лист2!$A:$N,12,0)-(B47-1)*VLOOKUP($H$2,Лист2!$A:$N,13,0))),0)</f>
        <v>1475.9970479999999</v>
      </c>
      <c r="F47" s="169">
        <f>ROUND((E$17-SUM(D$29:D46))*F$9*30/365,2)</f>
        <v>0.16</v>
      </c>
      <c r="G47" s="269">
        <f t="shared" si="1"/>
        <v>2587.2772411694441</v>
      </c>
      <c r="H47" s="269"/>
      <c r="I47" s="3"/>
      <c r="K47" s="132"/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1111.1201931694441</v>
      </c>
      <c r="E48" s="168">
        <f>IF(B48&lt;=$F$15,(E$17*(VLOOKUP($H$2,Лист2!$A:$N,12,0)-(B48-1)*VLOOKUP($H$2,Лист2!$A:$N,13,0))),0)</f>
        <v>1475.9970479999999</v>
      </c>
      <c r="F48" s="169">
        <f>ROUND((E$17-SUM(D$29:D47))*F$9*30/365,2)</f>
        <v>0.16</v>
      </c>
      <c r="G48" s="269">
        <f t="shared" si="1"/>
        <v>2587.2772411694441</v>
      </c>
      <c r="H48" s="269"/>
      <c r="I48" s="3"/>
      <c r="K48" s="132"/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1111.1301931694441</v>
      </c>
      <c r="E49" s="168">
        <f>IF(B49&lt;=$F$15,(E$17*(VLOOKUP($H$2,Лист2!$A:$N,12,0)-(B49-1)*VLOOKUP($H$2,Лист2!$A:$N,13,0))),0)</f>
        <v>1475.9970479999999</v>
      </c>
      <c r="F49" s="169">
        <f>ROUND((E$17-SUM(D$29:D48))*F$9*30/365,2)</f>
        <v>0.15</v>
      </c>
      <c r="G49" s="269">
        <f t="shared" si="1"/>
        <v>2587.2772411694441</v>
      </c>
      <c r="H49" s="269"/>
      <c r="I49" s="3"/>
      <c r="K49" s="132"/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1111.140193169444</v>
      </c>
      <c r="E50" s="168">
        <f>IF(B50&lt;=$F$15,(E$17*(VLOOKUP($H$2,Лист2!$A:$N,12,0)-(B50-1)*VLOOKUP($H$2,Лист2!$A:$N,13,0))),0)</f>
        <v>1475.9970479999999</v>
      </c>
      <c r="F50" s="169">
        <f>ROUND((E$17-SUM(D$29:D49))*F$9*30/365,2)</f>
        <v>0.14000000000000001</v>
      </c>
      <c r="G50" s="269">
        <f t="shared" si="1"/>
        <v>2587.2772411694436</v>
      </c>
      <c r="H50" s="269"/>
      <c r="I50" s="3"/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1111.150193169444</v>
      </c>
      <c r="E51" s="168">
        <f>IF(B51&lt;=$F$15,(E$17*(VLOOKUP($H$2,Лист2!$A:$N,12,0)-(B51-1)*VLOOKUP($H$2,Лист2!$A:$N,13,0))),0)</f>
        <v>1475.9970479999999</v>
      </c>
      <c r="F51" s="169">
        <f>ROUND((E$17-SUM(D$29:D50))*F$9*30/365,2)</f>
        <v>0.13</v>
      </c>
      <c r="G51" s="269">
        <f t="shared" si="1"/>
        <v>2587.2772411694441</v>
      </c>
      <c r="H51" s="269"/>
      <c r="I51" s="3"/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1111.1601931694443</v>
      </c>
      <c r="E52" s="168">
        <f>IF(B52&lt;=$F$15,(E$17*(VLOOKUP($H$2,Лист2!$A:$N,12,0)-(B52-1)*VLOOKUP($H$2,Лист2!$A:$N,13,0))),0)</f>
        <v>1475.9970479999999</v>
      </c>
      <c r="F52" s="169">
        <f>ROUND((E$17-SUM(D$29:D51))*F$9*30/365,2)</f>
        <v>0.12</v>
      </c>
      <c r="G52" s="269">
        <f t="shared" si="1"/>
        <v>2587.2772411694441</v>
      </c>
      <c r="H52" s="269"/>
      <c r="I52" s="3"/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1111.1701931694442</v>
      </c>
      <c r="E53" s="168">
        <f>IF(B53&lt;=$F$15,(E$17*(VLOOKUP($H$2,Лист2!$A:$N,12,0)-(B53-1)*VLOOKUP($H$2,Лист2!$A:$N,13,0))),0)</f>
        <v>1475.9970479999999</v>
      </c>
      <c r="F53" s="169">
        <f>ROUND((E$17-SUM(D$29:D52))*F$9*30/365,2)</f>
        <v>0.11</v>
      </c>
      <c r="G53" s="269">
        <f t="shared" si="1"/>
        <v>2587.2772411694446</v>
      </c>
      <c r="H53" s="269"/>
      <c r="I53" s="3"/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1111.1801931694442</v>
      </c>
      <c r="E54" s="168">
        <f>IF(B54&lt;=$F$15,(E$17*(VLOOKUP($H$2,Лист2!$A:$N,12,0)-(B54-1)*VLOOKUP($H$2,Лист2!$A:$N,13,0))),0)</f>
        <v>1475.9970479999999</v>
      </c>
      <c r="F54" s="169">
        <f>ROUND((E$17-SUM(D$29:D53))*F$9*30/365,2)</f>
        <v>0.1</v>
      </c>
      <c r="G54" s="269">
        <f t="shared" si="1"/>
        <v>2587.2772411694441</v>
      </c>
      <c r="H54" s="269"/>
      <c r="I54" s="3"/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1111.1901931694442</v>
      </c>
      <c r="E55" s="168">
        <f>IF(B55&lt;=$F$15,(E$17*(VLOOKUP($H$2,Лист2!$A:$N,12,0)-(B55-1)*VLOOKUP($H$2,Лист2!$A:$N,13,0))),0)</f>
        <v>1475.9970479999999</v>
      </c>
      <c r="F55" s="169">
        <f>ROUND((E$17-SUM(D$29:D54))*F$9*30/365,2)</f>
        <v>0.09</v>
      </c>
      <c r="G55" s="269">
        <f t="shared" si="1"/>
        <v>2587.2772411694441</v>
      </c>
      <c r="H55" s="269"/>
      <c r="I55" s="3"/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1111.2001931694442</v>
      </c>
      <c r="E56" s="168">
        <f>IF(B56&lt;=$F$15,(E$17*(VLOOKUP($H$2,Лист2!$A:$N,12,0)-(B56-1)*VLOOKUP($H$2,Лист2!$A:$N,13,0))),0)</f>
        <v>1475.9970479999999</v>
      </c>
      <c r="F56" s="169">
        <f>ROUND((E$17-SUM(D$29:D55))*F$9*30/365,2)</f>
        <v>0.08</v>
      </c>
      <c r="G56" s="269">
        <f t="shared" si="1"/>
        <v>2587.2772411694441</v>
      </c>
      <c r="H56" s="269"/>
      <c r="I56" s="3"/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1111.2101931694442</v>
      </c>
      <c r="E57" s="168">
        <f>IF(B57&lt;=$F$15,(E$17*(VLOOKUP($H$2,Лист2!$A:$N,12,0)-(B57-1)*VLOOKUP($H$2,Лист2!$A:$N,13,0))),0)</f>
        <v>1475.9970479999999</v>
      </c>
      <c r="F57" s="169">
        <f>ROUND((E$17-SUM(D$29:D56))*F$9*30/365,2)</f>
        <v>7.0000000000000007E-2</v>
      </c>
      <c r="G57" s="269">
        <f t="shared" si="1"/>
        <v>2587.2772411694446</v>
      </c>
      <c r="H57" s="269"/>
      <c r="I57" s="3"/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1111.2201931694442</v>
      </c>
      <c r="E58" s="168">
        <f>IF(B58&lt;=$F$15,(E$17*(VLOOKUP($H$2,Лист2!$A:$N,12,0)-(B58-1)*VLOOKUP($H$2,Лист2!$A:$N,13,0))),0)</f>
        <v>1475.9970479999999</v>
      </c>
      <c r="F58" s="169">
        <f>ROUND((E$17-SUM(D$29:D57))*F$9*30/365,2)</f>
        <v>0.06</v>
      </c>
      <c r="G58" s="269">
        <f t="shared" si="1"/>
        <v>2587.2772411694441</v>
      </c>
      <c r="H58" s="269"/>
      <c r="I58" s="124"/>
      <c r="J58" s="124"/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1111.2301931694442</v>
      </c>
      <c r="E59" s="168">
        <f>IF(B59&lt;=$F$15,(E$17*(VLOOKUP($H$2,Лист2!$A:$N,12,0)-(B59-1)*VLOOKUP($H$2,Лист2!$A:$N,13,0))),0)</f>
        <v>1475.9970479999999</v>
      </c>
      <c r="F59" s="169">
        <f>ROUND((E$17-SUM(D$29:D58))*F$9*30/365,2)</f>
        <v>0.05</v>
      </c>
      <c r="G59" s="269">
        <f t="shared" si="1"/>
        <v>2587.2772411694441</v>
      </c>
      <c r="H59" s="269"/>
      <c r="I59" s="124"/>
      <c r="J59" s="124"/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1111.2301931694442</v>
      </c>
      <c r="E60" s="168">
        <f>IF(B60&lt;=$F$15,(E$17*(VLOOKUP($H$2,Лист2!$A:$N,12,0)-(B60-1)*VLOOKUP($H$2,Лист2!$A:$N,13,0))),0)</f>
        <v>1475.9970479999999</v>
      </c>
      <c r="F60" s="169">
        <f>ROUND((E$17-SUM(D$29:D59))*F$9*30/365,2)</f>
        <v>0.05</v>
      </c>
      <c r="G60" s="269">
        <f t="shared" si="1"/>
        <v>2587.2772411694441</v>
      </c>
      <c r="H60" s="269"/>
      <c r="I60" s="124"/>
      <c r="J60" s="124"/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1111.2401931694442</v>
      </c>
      <c r="E61" s="168">
        <f>IF(B61&lt;=$F$15,(E$17*(VLOOKUP($H$2,Лист2!$A:$N,12,0)-(B61-1)*VLOOKUP($H$2,Лист2!$A:$N,13,0))),0)</f>
        <v>1475.9970479999999</v>
      </c>
      <c r="F61" s="169">
        <f>ROUND((E$17-SUM(D$29:D60))*F$9*30/365,2)</f>
        <v>0.04</v>
      </c>
      <c r="G61" s="269">
        <f t="shared" si="1"/>
        <v>2587.2772411694441</v>
      </c>
      <c r="H61" s="269"/>
      <c r="I61" s="124"/>
      <c r="J61" s="124"/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1111.2501931694442</v>
      </c>
      <c r="E62" s="168">
        <f>IF(B62&lt;=$F$15,(E$17*(VLOOKUP($H$2,Лист2!$A:$N,12,0)-(B62-1)*VLOOKUP($H$2,Лист2!$A:$N,13,0))),0)</f>
        <v>1475.9970479999999</v>
      </c>
      <c r="F62" s="169">
        <f>ROUND((E$17-SUM(D$29:D61))*F$9*30/365,2)</f>
        <v>0.03</v>
      </c>
      <c r="G62" s="269">
        <f t="shared" si="1"/>
        <v>2587.2772411694446</v>
      </c>
      <c r="H62" s="269"/>
      <c r="I62" s="124"/>
      <c r="J62" s="124"/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1111.2601931694442</v>
      </c>
      <c r="E63" s="168">
        <f>IF(B63&lt;=$F$15,(E$17*(VLOOKUP($H$2,Лист2!$A:$N,12,0)-(B63-1)*VLOOKUP($H$2,Лист2!$A:$N,13,0))),0)</f>
        <v>1475.9970479999999</v>
      </c>
      <c r="F63" s="169">
        <f>ROUND((E$17-SUM(D$29:D62))*F$9*30/365,2)</f>
        <v>0.02</v>
      </c>
      <c r="G63" s="269">
        <f t="shared" si="1"/>
        <v>2587.2772411694441</v>
      </c>
      <c r="H63" s="269"/>
      <c r="I63" s="124"/>
      <c r="J63" s="124"/>
    </row>
    <row r="64" spans="1:11" ht="13.8" thickBot="1" x14ac:dyDescent="0.3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1111.1832390694472</v>
      </c>
      <c r="E64" s="168">
        <f>IF(B64&lt;=$F$15,(E$17*(VLOOKUP($H$2,Лист2!$A:$N,12,0)-(B64-1)*VLOOKUP($H$2,Лист2!$A:$N,13,0))),0)</f>
        <v>1475.9970479999999</v>
      </c>
      <c r="F64" s="169">
        <f>ROUND((E$17-SUM(D$29:D63))*F$9*30/365,2)</f>
        <v>0.01</v>
      </c>
      <c r="G64" s="269">
        <f t="shared" si="1"/>
        <v>2587.1902870694475</v>
      </c>
      <c r="H64" s="269"/>
      <c r="I64" s="124"/>
      <c r="J64" s="124"/>
    </row>
    <row r="65" spans="1:10" hidden="1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0</v>
      </c>
      <c r="E65" s="168">
        <f>IF(B65&lt;=$F$15,(E$17*(VLOOKUP($H$2,Лист2!$A:$N,12,0)-(B65-1)*VLOOKUP($H$2,Лист2!$A:$N,13,0))),0)</f>
        <v>0</v>
      </c>
      <c r="F65" s="169">
        <f>ROUND((E$17-SUM(D$29:D64))*F$9*30/365,2)</f>
        <v>0</v>
      </c>
      <c r="G65" s="269">
        <f t="shared" si="1"/>
        <v>0</v>
      </c>
      <c r="H65" s="269"/>
      <c r="I65" s="124"/>
      <c r="J65" s="124"/>
    </row>
    <row r="66" spans="1:10" hidden="1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0</v>
      </c>
      <c r="E66" s="168">
        <f>IF(B66&lt;=$F$15,(E$17*(VLOOKUP($H$2,Лист2!$A:$N,12,0)-(B66-1)*VLOOKUP($H$2,Лист2!$A:$N,13,0))),0)</f>
        <v>0</v>
      </c>
      <c r="F66" s="169">
        <f>ROUND((E$17-SUM(D$29:D65))*F$9*30/365,2)</f>
        <v>0</v>
      </c>
      <c r="G66" s="269">
        <f t="shared" si="1"/>
        <v>0</v>
      </c>
      <c r="H66" s="269"/>
      <c r="I66" s="124"/>
      <c r="J66" s="124"/>
    </row>
    <row r="67" spans="1:10" hidden="1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0</v>
      </c>
      <c r="E67" s="168">
        <f>IF(B67&lt;=$F$15,(E$17*(VLOOKUP($H$2,Лист2!$A:$N,12,0)-(B67-1)*VLOOKUP($H$2,Лист2!$A:$N,13,0))),0)</f>
        <v>0</v>
      </c>
      <c r="F67" s="169">
        <f>ROUND((E$17-SUM(D$29:D66))*F$9*30/365,2)</f>
        <v>0</v>
      </c>
      <c r="G67" s="269">
        <f t="shared" si="1"/>
        <v>0</v>
      </c>
      <c r="H67" s="269"/>
      <c r="I67" s="124"/>
      <c r="J67" s="124"/>
    </row>
    <row r="68" spans="1:10" hidden="1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0</v>
      </c>
      <c r="E68" s="168">
        <f>IF(B68&lt;=$F$15,(E$17*(VLOOKUP($H$2,Лист2!$A:$N,12,0)-(B68-1)*VLOOKUP($H$2,Лист2!$A:$N,13,0))),0)</f>
        <v>0</v>
      </c>
      <c r="F68" s="169">
        <f>ROUND((E$17-SUM(D$29:D67))*F$9*30/365,2)</f>
        <v>0</v>
      </c>
      <c r="G68" s="269">
        <f t="shared" si="1"/>
        <v>0</v>
      </c>
      <c r="H68" s="269"/>
      <c r="I68" s="124"/>
      <c r="J68" s="124"/>
    </row>
    <row r="69" spans="1:10" hidden="1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0</v>
      </c>
      <c r="E69" s="168">
        <f>IF(B69&lt;=$F$15,(E$17*(VLOOKUP($H$2,Лист2!$A:$N,12,0)-(B69-1)*VLOOKUP($H$2,Лист2!$A:$N,13,0))),0)</f>
        <v>0</v>
      </c>
      <c r="F69" s="169">
        <f>ROUND((E$17-SUM(D$29:D68))*F$9*30/365,2)</f>
        <v>0</v>
      </c>
      <c r="G69" s="269">
        <f t="shared" si="1"/>
        <v>0</v>
      </c>
      <c r="H69" s="269"/>
      <c r="I69" s="124"/>
      <c r="J69" s="124"/>
    </row>
    <row r="70" spans="1:10" hidden="1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0</v>
      </c>
      <c r="E70" s="168">
        <f>IF(B70&lt;=$F$15,(E$17*(VLOOKUP($H$2,Лист2!$A:$N,12,0)-(B70-1)*VLOOKUP($H$2,Лист2!$A:$N,13,0))),0)</f>
        <v>0</v>
      </c>
      <c r="F70" s="169">
        <f>ROUND((E$17-SUM(D$29:D69))*F$9*30/365,2)</f>
        <v>0</v>
      </c>
      <c r="G70" s="269">
        <f t="shared" si="1"/>
        <v>0</v>
      </c>
      <c r="H70" s="269"/>
      <c r="I70" s="124"/>
      <c r="J70" s="124"/>
    </row>
    <row r="71" spans="1:10" hidden="1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0</v>
      </c>
      <c r="E71" s="168">
        <f>IF(B71&lt;=$F$15,(E$17*(VLOOKUP($H$2,Лист2!$A:$N,12,0)-(B71-1)*VLOOKUP($H$2,Лист2!$A:$N,13,0))),0)</f>
        <v>0</v>
      </c>
      <c r="F71" s="169">
        <f>ROUND((E$17-SUM(D$29:D70))*F$9*30/365,2)</f>
        <v>0</v>
      </c>
      <c r="G71" s="269">
        <f t="shared" si="1"/>
        <v>0</v>
      </c>
      <c r="H71" s="269"/>
      <c r="I71" s="124"/>
      <c r="J71" s="124"/>
    </row>
    <row r="72" spans="1:10" hidden="1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0</v>
      </c>
      <c r="E72" s="168">
        <f>IF(B72&lt;=$F$15,(E$17*(VLOOKUP($H$2,Лист2!$A:$N,12,0)-(B72-1)*VLOOKUP($H$2,Лист2!$A:$N,13,0))),0)</f>
        <v>0</v>
      </c>
      <c r="F72" s="169">
        <f>ROUND((E$17-SUM(D$29:D71))*F$9*30/365,2)</f>
        <v>0</v>
      </c>
      <c r="G72" s="269">
        <f t="shared" si="1"/>
        <v>0</v>
      </c>
      <c r="H72" s="269"/>
      <c r="I72" s="124"/>
      <c r="J72" s="124"/>
    </row>
    <row r="73" spans="1:10" hidden="1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0</v>
      </c>
      <c r="E73" s="168">
        <f>IF(B73&lt;=$F$15,(E$17*(VLOOKUP($H$2,Лист2!$A:$N,12,0)-(B73-1)*VLOOKUP($H$2,Лист2!$A:$N,13,0))),0)</f>
        <v>0</v>
      </c>
      <c r="F73" s="169">
        <f>ROUND((E$17-SUM(D$29:D72))*F$9*30/365,2)</f>
        <v>0</v>
      </c>
      <c r="G73" s="269">
        <f t="shared" si="1"/>
        <v>0</v>
      </c>
      <c r="H73" s="269"/>
      <c r="I73" s="124"/>
      <c r="J73" s="124"/>
    </row>
    <row r="74" spans="1:10" hidden="1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0</v>
      </c>
      <c r="E74" s="168">
        <f>IF(B74&lt;=$F$15,(E$17*(VLOOKUP($H$2,Лист2!$A:$N,12,0)-(B74-1)*VLOOKUP($H$2,Лист2!$A:$N,13,0))),0)</f>
        <v>0</v>
      </c>
      <c r="F74" s="169">
        <f>ROUND((E$17-SUM(D$29:D73))*F$9*30/365,2)</f>
        <v>0</v>
      </c>
      <c r="G74" s="269">
        <f t="shared" si="1"/>
        <v>0</v>
      </c>
      <c r="H74" s="269"/>
      <c r="I74" s="124"/>
      <c r="J74" s="124"/>
    </row>
    <row r="75" spans="1:10" hidden="1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0</v>
      </c>
      <c r="E75" s="168">
        <f>IF(B75&lt;=$F$15,(E$17*(VLOOKUP($H$2,Лист2!$A:$N,12,0)-(B75-1)*VLOOKUP($H$2,Лист2!$A:$N,13,0))),0)</f>
        <v>0</v>
      </c>
      <c r="F75" s="169">
        <f>ROUND((E$17-SUM(D$29:D74))*F$9*30/365,2)</f>
        <v>0</v>
      </c>
      <c r="G75" s="269">
        <f t="shared" si="1"/>
        <v>0</v>
      </c>
      <c r="H75" s="269"/>
      <c r="I75" s="124"/>
      <c r="J75" s="124"/>
    </row>
    <row r="76" spans="1:10" hidden="1" x14ac:dyDescent="0.25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0</v>
      </c>
      <c r="E76" s="168">
        <f>IF(B76&lt;=$F$15,(E$17*(VLOOKUP($H$2,Лист2!$A:$N,12,0)-(B76-1)*VLOOKUP($H$2,Лист2!$A:$N,13,0))),0)</f>
        <v>0</v>
      </c>
      <c r="F76" s="169">
        <f>ROUND((E$17-SUM(D$29:D75))*F$9*30/365,2)</f>
        <v>0</v>
      </c>
      <c r="G76" s="269">
        <f t="shared" si="1"/>
        <v>0</v>
      </c>
      <c r="H76" s="269"/>
      <c r="I76" s="124"/>
      <c r="J76" s="124"/>
    </row>
    <row r="77" spans="1:10" hidden="1" x14ac:dyDescent="0.25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0" hidden="1" x14ac:dyDescent="0.25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0" hidden="1" x14ac:dyDescent="0.25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0" hidden="1" x14ac:dyDescent="0.25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idden="1" x14ac:dyDescent="0.25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idden="1" x14ac:dyDescent="0.25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idden="1" x14ac:dyDescent="0.25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idden="1" x14ac:dyDescent="0.25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idden="1" x14ac:dyDescent="0.25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idden="1" x14ac:dyDescent="0.25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idden="1" x14ac:dyDescent="0.25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39999.919999999998</v>
      </c>
      <c r="E89" s="174">
        <f>SUM(E29:E88)</f>
        <v>53135.893727999974</v>
      </c>
      <c r="F89" s="174">
        <f>SUM(F29:F88)</f>
        <v>6.08</v>
      </c>
      <c r="G89" s="263">
        <f>SUM(G29:H88)</f>
        <v>93141.893728000039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7:E7"/>
    <mergeCell ref="H1:I1"/>
    <mergeCell ref="H2:I2"/>
    <mergeCell ref="F3:F4"/>
    <mergeCell ref="H3:I3"/>
    <mergeCell ref="B5:E5"/>
    <mergeCell ref="B9:E9"/>
    <mergeCell ref="G9:H9"/>
    <mergeCell ref="B11:E11"/>
    <mergeCell ref="G11:H11"/>
    <mergeCell ref="B13:E13"/>
    <mergeCell ref="G13:H13"/>
    <mergeCell ref="B15:E15"/>
    <mergeCell ref="G15:H15"/>
    <mergeCell ref="B18:E18"/>
    <mergeCell ref="G18:H18"/>
    <mergeCell ref="B20:E20"/>
    <mergeCell ref="G20:H20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</mergeCells>
  <dataValidations count="1">
    <dataValidation type="list" showInputMessage="1" showErrorMessage="1" sqref="H2:I2">
      <formula1>$K$20:$K$24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0000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VLOOKUP('"Біг Кеш" ПУМБ'!H2,Лист2!A:N,14,FALSE)</f>
        <v>43478</v>
      </c>
      <c r="F2" s="118">
        <f>VLOOKUP(H$2,Лист2!$A:$G,2,0)</f>
        <v>86955</v>
      </c>
      <c r="G2" s="135">
        <f ca="1">TODAY()</f>
        <v>44089</v>
      </c>
      <c r="H2" s="286" t="s">
        <v>64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85000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86955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85000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97750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1E-4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0.15</v>
      </c>
      <c r="G11" s="273"/>
      <c r="H11" s="273"/>
      <c r="I11" s="3"/>
      <c r="J11" s="53"/>
      <c r="K11" s="132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3.5000000000000003E-2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36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12750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97750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6136.9464034506364</v>
      </c>
      <c r="G18" s="277"/>
      <c r="H18" s="278"/>
      <c r="I18" s="123"/>
      <c r="J18" s="54"/>
      <c r="K18" s="132" t="e">
        <f>Лист2!#REF!</f>
        <v>#REF!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e">
        <f>Лист2!#REF!</f>
        <v>#REF!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135929.84999999986</v>
      </c>
      <c r="G20" s="279"/>
      <c r="H20" s="279"/>
      <c r="I20" s="1"/>
      <c r="J20" s="55"/>
      <c r="K20" s="132" t="str">
        <f>Лист2!A10</f>
        <v>Термін, 36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Лист2!A11</f>
        <v>Термін, 30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220929.84999999986</v>
      </c>
      <c r="G22" s="273"/>
      <c r="H22" s="273"/>
      <c r="I22" s="1"/>
      <c r="J22" s="55"/>
      <c r="K22" s="132" t="str">
        <f>Лист2!A12</f>
        <v>Термін, 24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Лист2!A13</f>
        <v>Термін, 18 міс. (ПУМБ)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1.1217843413352964</v>
      </c>
      <c r="G24" s="159"/>
      <c r="H24" s="22"/>
      <c r="I24" s="1"/>
      <c r="J24" s="1"/>
      <c r="K24" s="132" t="str">
        <f>Лист2!A14</f>
        <v>Термін, 12 міс. (ПУМБ)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/>
    </row>
    <row r="27" spans="1:29" ht="31.2" customHeight="1" thickBot="1" x14ac:dyDescent="0.3">
      <c r="A27" s="1"/>
      <c r="B27" s="157" t="s">
        <v>39</v>
      </c>
      <c r="C27" s="157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/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-85000</v>
      </c>
      <c r="H28" s="272"/>
      <c r="I28" s="3"/>
      <c r="K28" s="132" t="str">
        <f>Лист2!A15</f>
        <v>Термін, 36 міс. (ПУМБ БК)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2714.8964034506357</v>
      </c>
      <c r="E29" s="166">
        <f>IF(B29&lt;=$F$15,(E$17*(VLOOKUP($H$2,Лист2!$A:$N,12,0)-(B29-1)*VLOOKUP($H$2,Лист2!$A:$N,13,0))),0)</f>
        <v>3421.2500000000005</v>
      </c>
      <c r="F29" s="166">
        <f>ROUND(E$17*F$9*30/365,2)</f>
        <v>0.8</v>
      </c>
      <c r="G29" s="269">
        <f>SUM(D29:F29)</f>
        <v>6136.9464034506364</v>
      </c>
      <c r="H29" s="269"/>
      <c r="I29" s="3"/>
      <c r="K29" s="132" t="str">
        <f>Лист2!A16</f>
        <v>Термін, 30 міс. (ПУМБ БК)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2714.9164034506357</v>
      </c>
      <c r="E30" s="168">
        <f>IF(B30&lt;=$F$15,(E$17*(VLOOKUP($H$2,Лист2!$A:$N,12,0)-(B30-1)*VLOOKUP($H$2,Лист2!$A:$N,13,0))),0)</f>
        <v>3421.2500000000005</v>
      </c>
      <c r="F30" s="169">
        <f>ROUND((E$17-SUM(D$29:D29))*F$9*30/365,2)</f>
        <v>0.78</v>
      </c>
      <c r="G30" s="269">
        <f t="shared" ref="G30:G88" si="1">SUM(D30:F30)</f>
        <v>6136.9464034506354</v>
      </c>
      <c r="H30" s="269"/>
      <c r="I30" s="3"/>
      <c r="K30" s="132" t="str">
        <f>Лист2!A17</f>
        <v>Термін, 24 міс. (ПУМБ БК)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2714.9364034506357</v>
      </c>
      <c r="E31" s="168">
        <f>IF(B31&lt;=$F$15,(E$17*(VLOOKUP($H$2,Лист2!$A:$N,12,0)-(B31-1)*VLOOKUP($H$2,Лист2!$A:$N,13,0))),0)</f>
        <v>3421.2500000000005</v>
      </c>
      <c r="F31" s="169">
        <f>ROUND((E$17-SUM(D$29:D30))*F$9*30/365,2)</f>
        <v>0.76</v>
      </c>
      <c r="G31" s="269">
        <f t="shared" si="1"/>
        <v>6136.9464034506364</v>
      </c>
      <c r="H31" s="269"/>
      <c r="I31" s="3"/>
      <c r="K31" s="132" t="str">
        <f>Лист2!A18</f>
        <v>Термін, 18 міс. (ПУМБ БК)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2714.9564034506361</v>
      </c>
      <c r="E32" s="168">
        <f>IF(B32&lt;=$F$15,(E$17*(VLOOKUP($H$2,Лист2!$A:$N,12,0)-(B32-1)*VLOOKUP($H$2,Лист2!$A:$N,13,0))),0)</f>
        <v>3421.2500000000005</v>
      </c>
      <c r="F32" s="169">
        <f>ROUND((E$17-SUM(D$29:D31))*F$9*30/365,2)</f>
        <v>0.74</v>
      </c>
      <c r="G32" s="269">
        <f t="shared" si="1"/>
        <v>6136.9464034506364</v>
      </c>
      <c r="H32" s="269"/>
      <c r="I32" s="3"/>
      <c r="K32" s="132" t="str">
        <f>Лист2!A19</f>
        <v>Термін, 12 міс. (ПУМБ БК)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2714.9864034506359</v>
      </c>
      <c r="E33" s="168">
        <f>IF(B33&lt;=$F$15,(E$17*(VLOOKUP($H$2,Лист2!$A:$N,12,0)-(B33-1)*VLOOKUP($H$2,Лист2!$A:$N,13,0))),0)</f>
        <v>3421.2500000000005</v>
      </c>
      <c r="F33" s="169">
        <f>ROUND((E$17-SUM(D$29:D32))*F$9*30/365,2)</f>
        <v>0.71</v>
      </c>
      <c r="G33" s="269">
        <f t="shared" si="1"/>
        <v>6136.9464034506364</v>
      </c>
      <c r="H33" s="269"/>
      <c r="I33" s="3"/>
      <c r="K33" s="132" t="e">
        <f>Лист2!#REF!</f>
        <v>#REF!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2715.0064034506358</v>
      </c>
      <c r="E34" s="168">
        <f>IF(B34&lt;=$F$15,(E$17*(VLOOKUP($H$2,Лист2!$A:$N,12,0)-(B34-1)*VLOOKUP($H$2,Лист2!$A:$N,13,0))),0)</f>
        <v>3421.2500000000005</v>
      </c>
      <c r="F34" s="169">
        <f>ROUND((E$17-SUM(D$29:D33))*F$9*30/365,2)</f>
        <v>0.69</v>
      </c>
      <c r="G34" s="269">
        <f t="shared" si="1"/>
        <v>6136.9464034506354</v>
      </c>
      <c r="H34" s="269"/>
      <c r="I34" s="3"/>
      <c r="K34" s="132" t="e">
        <f>Лист2!#REF!</f>
        <v>#REF!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2715.0264034506358</v>
      </c>
      <c r="E35" s="168">
        <f>IF(B35&lt;=$F$15,(E$17*(VLOOKUP($H$2,Лист2!$A:$N,12,0)-(B35-1)*VLOOKUP($H$2,Лист2!$A:$N,13,0))),0)</f>
        <v>3421.2500000000005</v>
      </c>
      <c r="F35" s="169">
        <f>ROUND((E$17-SUM(D$29:D34))*F$9*30/365,2)</f>
        <v>0.67</v>
      </c>
      <c r="G35" s="269">
        <f t="shared" si="1"/>
        <v>6136.9464034506364</v>
      </c>
      <c r="H35" s="269"/>
      <c r="I35" s="3"/>
      <c r="K35" s="132" t="e">
        <f>Лист2!#REF!</f>
        <v>#REF!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2715.0464034506358</v>
      </c>
      <c r="E36" s="168">
        <f>IF(B36&lt;=$F$15,(E$17*(VLOOKUP($H$2,Лист2!$A:$N,12,0)-(B36-1)*VLOOKUP($H$2,Лист2!$A:$N,13,0))),0)</f>
        <v>3421.2500000000005</v>
      </c>
      <c r="F36" s="169">
        <f>ROUND((E$17-SUM(D$29:D35))*F$9*30/365,2)</f>
        <v>0.65</v>
      </c>
      <c r="G36" s="269">
        <f t="shared" si="1"/>
        <v>6136.9464034506364</v>
      </c>
      <c r="H36" s="269"/>
      <c r="I36" s="3"/>
      <c r="K36" s="132" t="e">
        <f>Лист2!#REF!</f>
        <v>#REF!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2715.076403450636</v>
      </c>
      <c r="E37" s="168">
        <f>IF(B37&lt;=$F$15,(E$17*(VLOOKUP($H$2,Лист2!$A:$N,12,0)-(B37-1)*VLOOKUP($H$2,Лист2!$A:$N,13,0))),0)</f>
        <v>3421.2500000000005</v>
      </c>
      <c r="F37" s="169">
        <f>ROUND((E$17-SUM(D$29:D36))*F$9*30/365,2)</f>
        <v>0.62</v>
      </c>
      <c r="G37" s="269">
        <f t="shared" si="1"/>
        <v>6136.9464034506364</v>
      </c>
      <c r="H37" s="269"/>
      <c r="I37" s="3"/>
      <c r="K37" s="132" t="e">
        <f>Лист2!#REF!</f>
        <v>#REF!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2715.096403450636</v>
      </c>
      <c r="E38" s="168">
        <f>IF(B38&lt;=$F$15,(E$17*(VLOOKUP($H$2,Лист2!$A:$N,12,0)-(B38-1)*VLOOKUP($H$2,Лист2!$A:$N,13,0))),0)</f>
        <v>3421.2500000000005</v>
      </c>
      <c r="F38" s="169">
        <f>ROUND((E$17-SUM(D$29:D37))*F$9*30/365,2)</f>
        <v>0.6</v>
      </c>
      <c r="G38" s="269">
        <f t="shared" si="1"/>
        <v>6136.9464034506364</v>
      </c>
      <c r="H38" s="269"/>
      <c r="I38" s="3"/>
      <c r="K38" s="132" t="e">
        <f>Лист2!#REF!</f>
        <v>#REF!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2715.116403450636</v>
      </c>
      <c r="E39" s="168">
        <f>IF(B39&lt;=$F$15,(E$17*(VLOOKUP($H$2,Лист2!$A:$N,12,0)-(B39-1)*VLOOKUP($H$2,Лист2!$A:$N,13,0))),0)</f>
        <v>3421.2500000000005</v>
      </c>
      <c r="F39" s="169">
        <f>ROUND((E$17-SUM(D$29:D38))*F$9*30/365,2)</f>
        <v>0.57999999999999996</v>
      </c>
      <c r="G39" s="269">
        <f t="shared" si="1"/>
        <v>6136.9464034506364</v>
      </c>
      <c r="H39" s="269"/>
      <c r="I39" s="3"/>
      <c r="K39" s="132" t="e">
        <f>Лист2!#REF!</f>
        <v>#REF!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2715.136403450636</v>
      </c>
      <c r="E40" s="168">
        <f>IF(B40&lt;=$F$15,(E$17*(VLOOKUP($H$2,Лист2!$A:$N,12,0)-(B40-1)*VLOOKUP($H$2,Лист2!$A:$N,13,0))),0)</f>
        <v>3421.2500000000005</v>
      </c>
      <c r="F40" s="169">
        <f>ROUND((E$17-SUM(D$29:D39))*F$9*30/365,2)</f>
        <v>0.56000000000000005</v>
      </c>
      <c r="G40" s="269">
        <f t="shared" si="1"/>
        <v>6136.9464034506373</v>
      </c>
      <c r="H40" s="269"/>
      <c r="I40" s="3"/>
      <c r="K40" s="132" t="str">
        <f>Лист2!A20</f>
        <v>Термін, 36 міс. (СФ)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2715.1564034506359</v>
      </c>
      <c r="E41" s="168">
        <f>IF(B41&lt;=$F$15,(E$17*(VLOOKUP($H$2,Лист2!$A:$N,12,0)-(B41-1)*VLOOKUP($H$2,Лист2!$A:$N,13,0))),0)</f>
        <v>3421.2500000000005</v>
      </c>
      <c r="F41" s="169">
        <f>ROUND((E$17-SUM(D$29:D40))*F$9*30/365,2)</f>
        <v>0.54</v>
      </c>
      <c r="G41" s="269">
        <f t="shared" si="1"/>
        <v>6136.9464034506364</v>
      </c>
      <c r="H41" s="269"/>
      <c r="I41" s="3"/>
      <c r="K41" s="132" t="str">
        <f>Лист2!A21</f>
        <v>Термін, 24 міс. (СФ)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2715.1864034506357</v>
      </c>
      <c r="E42" s="168">
        <f>IF(B42&lt;=$F$15,(E$17*(VLOOKUP($H$2,Лист2!$A:$N,12,0)-(B42-1)*VLOOKUP($H$2,Лист2!$A:$N,13,0))),0)</f>
        <v>3421.2500000000005</v>
      </c>
      <c r="F42" s="169">
        <f>ROUND((E$17-SUM(D$29:D41))*F$9*30/365,2)</f>
        <v>0.51</v>
      </c>
      <c r="G42" s="269">
        <f t="shared" si="1"/>
        <v>6136.9464034506364</v>
      </c>
      <c r="H42" s="269"/>
      <c r="I42" s="3"/>
      <c r="K42" s="132" t="str">
        <f>Лист2!A22</f>
        <v>Термін, 18 міс. (СФ)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2715.2064034506361</v>
      </c>
      <c r="E43" s="168">
        <f>IF(B43&lt;=$F$15,(E$17*(VLOOKUP($H$2,Лист2!$A:$N,12,0)-(B43-1)*VLOOKUP($H$2,Лист2!$A:$N,13,0))),0)</f>
        <v>3421.2500000000005</v>
      </c>
      <c r="F43" s="169">
        <f>ROUND((E$17-SUM(D$29:D42))*F$9*30/365,2)</f>
        <v>0.49</v>
      </c>
      <c r="G43" s="269">
        <f t="shared" si="1"/>
        <v>6136.9464034506364</v>
      </c>
      <c r="H43" s="269"/>
      <c r="I43" s="3"/>
      <c r="K43" s="132" t="str">
        <f>Лист2!A23</f>
        <v>Термін, 12 міс. (СФ)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2715.2264034506361</v>
      </c>
      <c r="E44" s="168">
        <f>IF(B44&lt;=$F$15,(E$17*(VLOOKUP($H$2,Лист2!$A:$N,12,0)-(B44-1)*VLOOKUP($H$2,Лист2!$A:$N,13,0))),0)</f>
        <v>3421.2500000000005</v>
      </c>
      <c r="F44" s="169">
        <f>ROUND((E$17-SUM(D$29:D43))*F$9*30/365,2)</f>
        <v>0.47</v>
      </c>
      <c r="G44" s="269">
        <f t="shared" si="1"/>
        <v>6136.9464034506373</v>
      </c>
      <c r="H44" s="269"/>
      <c r="I44" s="3"/>
      <c r="K44" s="132" t="e">
        <f>Лист2!#REF!</f>
        <v>#REF!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2715.2464034506361</v>
      </c>
      <c r="E45" s="168">
        <f>IF(B45&lt;=$F$15,(E$17*(VLOOKUP($H$2,Лист2!$A:$N,12,0)-(B45-1)*VLOOKUP($H$2,Лист2!$A:$N,13,0))),0)</f>
        <v>3421.2500000000005</v>
      </c>
      <c r="F45" s="169">
        <f>ROUND((E$17-SUM(D$29:D44))*F$9*30/365,2)</f>
        <v>0.45</v>
      </c>
      <c r="G45" s="269">
        <f t="shared" si="1"/>
        <v>6136.9464034506364</v>
      </c>
      <c r="H45" s="269"/>
      <c r="I45" s="3"/>
      <c r="K45" s="132"/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2715.2764034506358</v>
      </c>
      <c r="E46" s="168">
        <f>IF(B46&lt;=$F$15,(E$17*(VLOOKUP($H$2,Лист2!$A:$N,12,0)-(B46-1)*VLOOKUP($H$2,Лист2!$A:$N,13,0))),0)</f>
        <v>3421.2500000000005</v>
      </c>
      <c r="F46" s="169">
        <f>ROUND((E$17-SUM(D$29:D45))*F$9*30/365,2)</f>
        <v>0.42</v>
      </c>
      <c r="G46" s="269">
        <f t="shared" si="1"/>
        <v>6136.9464034506364</v>
      </c>
      <c r="H46" s="269"/>
      <c r="I46" s="3"/>
      <c r="K46" s="132"/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2715.2964034506358</v>
      </c>
      <c r="E47" s="168">
        <f>IF(B47&lt;=$F$15,(E$17*(VLOOKUP($H$2,Лист2!$A:$N,12,0)-(B47-1)*VLOOKUP($H$2,Лист2!$A:$N,13,0))),0)</f>
        <v>3421.2500000000005</v>
      </c>
      <c r="F47" s="169">
        <f>ROUND((E$17-SUM(D$29:D46))*F$9*30/365,2)</f>
        <v>0.4</v>
      </c>
      <c r="G47" s="269">
        <f t="shared" si="1"/>
        <v>6136.9464034506364</v>
      </c>
      <c r="H47" s="269"/>
      <c r="I47" s="3"/>
      <c r="K47" s="132"/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2715.3164034506358</v>
      </c>
      <c r="E48" s="168">
        <f>IF(B48&lt;=$F$15,(E$17*(VLOOKUP($H$2,Лист2!$A:$N,12,0)-(B48-1)*VLOOKUP($H$2,Лист2!$A:$N,13,0))),0)</f>
        <v>3421.2500000000005</v>
      </c>
      <c r="F48" s="169">
        <f>ROUND((E$17-SUM(D$29:D47))*F$9*30/365,2)</f>
        <v>0.38</v>
      </c>
      <c r="G48" s="269">
        <f t="shared" si="1"/>
        <v>6136.9464034506364</v>
      </c>
      <c r="H48" s="269"/>
      <c r="I48" s="3"/>
      <c r="K48" s="132"/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2715.3364034506358</v>
      </c>
      <c r="E49" s="168">
        <f>IF(B49&lt;=$F$15,(E$17*(VLOOKUP($H$2,Лист2!$A:$N,12,0)-(B49-1)*VLOOKUP($H$2,Лист2!$A:$N,13,0))),0)</f>
        <v>3421.2500000000005</v>
      </c>
      <c r="F49" s="169">
        <f>ROUND((E$17-SUM(D$29:D48))*F$9*30/365,2)</f>
        <v>0.36</v>
      </c>
      <c r="G49" s="269">
        <f t="shared" si="1"/>
        <v>6136.9464034506354</v>
      </c>
      <c r="H49" s="269"/>
      <c r="I49" s="3"/>
      <c r="K49" s="132"/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2715.366403450636</v>
      </c>
      <c r="E50" s="168">
        <f>IF(B50&lt;=$F$15,(E$17*(VLOOKUP($H$2,Лист2!$A:$N,12,0)-(B50-1)*VLOOKUP($H$2,Лист2!$A:$N,13,0))),0)</f>
        <v>3421.2500000000005</v>
      </c>
      <c r="F50" s="169">
        <f>ROUND((E$17-SUM(D$29:D49))*F$9*30/365,2)</f>
        <v>0.33</v>
      </c>
      <c r="G50" s="269">
        <f t="shared" si="1"/>
        <v>6136.9464034506364</v>
      </c>
      <c r="H50" s="269"/>
      <c r="I50" s="3"/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2715.386403450636</v>
      </c>
      <c r="E51" s="168">
        <f>IF(B51&lt;=$F$15,(E$17*(VLOOKUP($H$2,Лист2!$A:$N,12,0)-(B51-1)*VLOOKUP($H$2,Лист2!$A:$N,13,0))),0)</f>
        <v>3421.2500000000005</v>
      </c>
      <c r="F51" s="169">
        <f>ROUND((E$17-SUM(D$29:D50))*F$9*30/365,2)</f>
        <v>0.31</v>
      </c>
      <c r="G51" s="269">
        <f t="shared" si="1"/>
        <v>6136.9464034506373</v>
      </c>
      <c r="H51" s="269"/>
      <c r="I51" s="3"/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2715.4064034506359</v>
      </c>
      <c r="E52" s="168">
        <f>IF(B52&lt;=$F$15,(E$17*(VLOOKUP($H$2,Лист2!$A:$N,12,0)-(B52-1)*VLOOKUP($H$2,Лист2!$A:$N,13,0))),0)</f>
        <v>3421.2500000000005</v>
      </c>
      <c r="F52" s="169">
        <f>ROUND((E$17-SUM(D$29:D51))*F$9*30/365,2)</f>
        <v>0.28999999999999998</v>
      </c>
      <c r="G52" s="269">
        <f t="shared" si="1"/>
        <v>6136.9464034506364</v>
      </c>
      <c r="H52" s="269"/>
      <c r="I52" s="3"/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2715.4264034506359</v>
      </c>
      <c r="E53" s="168">
        <f>IF(B53&lt;=$F$15,(E$17*(VLOOKUP($H$2,Лист2!$A:$N,12,0)-(B53-1)*VLOOKUP($H$2,Лист2!$A:$N,13,0))),0)</f>
        <v>3421.2500000000005</v>
      </c>
      <c r="F53" s="169">
        <f>ROUND((E$17-SUM(D$29:D52))*F$9*30/365,2)</f>
        <v>0.27</v>
      </c>
      <c r="G53" s="269">
        <f t="shared" si="1"/>
        <v>6136.9464034506364</v>
      </c>
      <c r="H53" s="269"/>
      <c r="I53" s="3"/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2715.4464034506359</v>
      </c>
      <c r="E54" s="168">
        <f>IF(B54&lt;=$F$15,(E$17*(VLOOKUP($H$2,Лист2!$A:$N,12,0)-(B54-1)*VLOOKUP($H$2,Лист2!$A:$N,13,0))),0)</f>
        <v>3421.2500000000005</v>
      </c>
      <c r="F54" s="169">
        <f>ROUND((E$17-SUM(D$29:D53))*F$9*30/365,2)</f>
        <v>0.25</v>
      </c>
      <c r="G54" s="269">
        <f t="shared" si="1"/>
        <v>6136.9464034506364</v>
      </c>
      <c r="H54" s="269"/>
      <c r="I54" s="3"/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2715.4764034506361</v>
      </c>
      <c r="E55" s="168">
        <f>IF(B55&lt;=$F$15,(E$17*(VLOOKUP($H$2,Лист2!$A:$N,12,0)-(B55-1)*VLOOKUP($H$2,Лист2!$A:$N,13,0))),0)</f>
        <v>3421.2500000000005</v>
      </c>
      <c r="F55" s="169">
        <f>ROUND((E$17-SUM(D$29:D54))*F$9*30/365,2)</f>
        <v>0.22</v>
      </c>
      <c r="G55" s="269">
        <f t="shared" si="1"/>
        <v>6136.9464034506373</v>
      </c>
      <c r="H55" s="269"/>
      <c r="I55" s="3"/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2715.4964034506361</v>
      </c>
      <c r="E56" s="168">
        <f>IF(B56&lt;=$F$15,(E$17*(VLOOKUP($H$2,Лист2!$A:$N,12,0)-(B56-1)*VLOOKUP($H$2,Лист2!$A:$N,13,0))),0)</f>
        <v>3421.2500000000005</v>
      </c>
      <c r="F56" s="169">
        <f>ROUND((E$17-SUM(D$29:D55))*F$9*30/365,2)</f>
        <v>0.2</v>
      </c>
      <c r="G56" s="269">
        <f t="shared" si="1"/>
        <v>6136.9464034506364</v>
      </c>
      <c r="H56" s="269"/>
      <c r="I56" s="3"/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2715.5164034506361</v>
      </c>
      <c r="E57" s="168">
        <f>IF(B57&lt;=$F$15,(E$17*(VLOOKUP($H$2,Лист2!$A:$N,12,0)-(B57-1)*VLOOKUP($H$2,Лист2!$A:$N,13,0))),0)</f>
        <v>3421.2500000000005</v>
      </c>
      <c r="F57" s="169">
        <f>ROUND((E$17-SUM(D$29:D56))*F$9*30/365,2)</f>
        <v>0.18</v>
      </c>
      <c r="G57" s="269">
        <f t="shared" si="1"/>
        <v>6136.9464034506364</v>
      </c>
      <c r="H57" s="269"/>
      <c r="I57" s="3"/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2715.536403450636</v>
      </c>
      <c r="E58" s="168">
        <f>IF(B58&lt;=$F$15,(E$17*(VLOOKUP($H$2,Лист2!$A:$N,12,0)-(B58-1)*VLOOKUP($H$2,Лист2!$A:$N,13,0))),0)</f>
        <v>3421.2500000000005</v>
      </c>
      <c r="F58" s="169">
        <f>ROUND((E$17-SUM(D$29:D57))*F$9*30/365,2)</f>
        <v>0.16</v>
      </c>
      <c r="G58" s="269">
        <f t="shared" si="1"/>
        <v>6136.9464034506364</v>
      </c>
      <c r="H58" s="269"/>
      <c r="I58" s="124"/>
      <c r="J58" s="124"/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2715.5664034506358</v>
      </c>
      <c r="E59" s="168">
        <f>IF(B59&lt;=$F$15,(E$17*(VLOOKUP($H$2,Лист2!$A:$N,12,0)-(B59-1)*VLOOKUP($H$2,Лист2!$A:$N,13,0))),0)</f>
        <v>3421.2500000000005</v>
      </c>
      <c r="F59" s="169">
        <f>ROUND((E$17-SUM(D$29:D58))*F$9*30/365,2)</f>
        <v>0.13</v>
      </c>
      <c r="G59" s="269">
        <f t="shared" si="1"/>
        <v>6136.9464034506364</v>
      </c>
      <c r="H59" s="269"/>
      <c r="I59" s="124"/>
      <c r="J59" s="124"/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2715.5864034506358</v>
      </c>
      <c r="E60" s="168">
        <f>IF(B60&lt;=$F$15,(E$17*(VLOOKUP($H$2,Лист2!$A:$N,12,0)-(B60-1)*VLOOKUP($H$2,Лист2!$A:$N,13,0))),0)</f>
        <v>3421.2500000000005</v>
      </c>
      <c r="F60" s="169">
        <f>ROUND((E$17-SUM(D$29:D59))*F$9*30/365,2)</f>
        <v>0.11</v>
      </c>
      <c r="G60" s="269">
        <f t="shared" si="1"/>
        <v>6136.9464034506354</v>
      </c>
      <c r="H60" s="269"/>
      <c r="I60" s="124"/>
      <c r="J60" s="124"/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2715.6064034506358</v>
      </c>
      <c r="E61" s="168">
        <f>IF(B61&lt;=$F$15,(E$17*(VLOOKUP($H$2,Лист2!$A:$N,12,0)-(B61-1)*VLOOKUP($H$2,Лист2!$A:$N,13,0))),0)</f>
        <v>3421.2500000000005</v>
      </c>
      <c r="F61" s="169">
        <f>ROUND((E$17-SUM(D$29:D60))*F$9*30/365,2)</f>
        <v>0.09</v>
      </c>
      <c r="G61" s="269">
        <f t="shared" si="1"/>
        <v>6136.9464034506364</v>
      </c>
      <c r="H61" s="269"/>
      <c r="I61" s="124"/>
      <c r="J61" s="124"/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2715.6264034506357</v>
      </c>
      <c r="E62" s="168">
        <f>IF(B62&lt;=$F$15,(E$17*(VLOOKUP($H$2,Лист2!$A:$N,12,0)-(B62-1)*VLOOKUP($H$2,Лист2!$A:$N,13,0))),0)</f>
        <v>3421.2500000000005</v>
      </c>
      <c r="F62" s="169">
        <f>ROUND((E$17-SUM(D$29:D61))*F$9*30/365,2)</f>
        <v>7.0000000000000007E-2</v>
      </c>
      <c r="G62" s="269">
        <f t="shared" si="1"/>
        <v>6136.9464034506364</v>
      </c>
      <c r="H62" s="269"/>
      <c r="I62" s="124"/>
      <c r="J62" s="124"/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2715.6564034506359</v>
      </c>
      <c r="E63" s="168">
        <f>IF(B63&lt;=$F$15,(E$17*(VLOOKUP($H$2,Лист2!$A:$N,12,0)-(B63-1)*VLOOKUP($H$2,Лист2!$A:$N,13,0))),0)</f>
        <v>3421.2500000000005</v>
      </c>
      <c r="F63" s="169">
        <f>ROUND((E$17-SUM(D$29:D62))*F$9*30/365,2)</f>
        <v>0.04</v>
      </c>
      <c r="G63" s="269">
        <f t="shared" si="1"/>
        <v>6136.9464034506364</v>
      </c>
      <c r="H63" s="269"/>
      <c r="I63" s="124"/>
      <c r="J63" s="124"/>
    </row>
    <row r="64" spans="1:11" ht="13.8" thickBot="1" x14ac:dyDescent="0.3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2715.455879227753</v>
      </c>
      <c r="E64" s="168">
        <f>IF(B64&lt;=$F$15,(E$17*(VLOOKUP($H$2,Лист2!$A:$N,12,0)-(B64-1)*VLOOKUP($H$2,Лист2!$A:$N,13,0))),0)</f>
        <v>3421.2500000000005</v>
      </c>
      <c r="F64" s="169">
        <f>ROUND((E$17-SUM(D$29:D63))*F$9*30/365,2)</f>
        <v>0.02</v>
      </c>
      <c r="G64" s="269">
        <f t="shared" si="1"/>
        <v>6136.7258792277535</v>
      </c>
      <c r="H64" s="269"/>
      <c r="I64" s="124"/>
      <c r="J64" s="124"/>
    </row>
    <row r="65" spans="1:10" hidden="1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0</v>
      </c>
      <c r="E65" s="168">
        <f>IF(B65&lt;=$F$15,(E$17*(VLOOKUP($H$2,Лист2!$A:$N,12,0)-(B65-1)*VLOOKUP($H$2,Лист2!$A:$N,13,0))),0)</f>
        <v>0</v>
      </c>
      <c r="F65" s="169">
        <f>ROUND((E$17-SUM(D$29:D64))*F$9*30/365,2)</f>
        <v>0</v>
      </c>
      <c r="G65" s="269">
        <f t="shared" si="1"/>
        <v>0</v>
      </c>
      <c r="H65" s="269"/>
      <c r="I65" s="124"/>
      <c r="J65" s="124"/>
    </row>
    <row r="66" spans="1:10" hidden="1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0</v>
      </c>
      <c r="E66" s="168">
        <f>IF(B66&lt;=$F$15,(E$17*(VLOOKUP($H$2,Лист2!$A:$N,12,0)-(B66-1)*VLOOKUP($H$2,Лист2!$A:$N,13,0))),0)</f>
        <v>0</v>
      </c>
      <c r="F66" s="169">
        <f>ROUND((E$17-SUM(D$29:D65))*F$9*30/365,2)</f>
        <v>0</v>
      </c>
      <c r="G66" s="269">
        <f t="shared" si="1"/>
        <v>0</v>
      </c>
      <c r="H66" s="269"/>
      <c r="I66" s="124"/>
      <c r="J66" s="124"/>
    </row>
    <row r="67" spans="1:10" hidden="1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0</v>
      </c>
      <c r="E67" s="168">
        <f>IF(B67&lt;=$F$15,(E$17*(VLOOKUP($H$2,Лист2!$A:$N,12,0)-(B67-1)*VLOOKUP($H$2,Лист2!$A:$N,13,0))),0)</f>
        <v>0</v>
      </c>
      <c r="F67" s="169">
        <f>ROUND((E$17-SUM(D$29:D66))*F$9*30/365,2)</f>
        <v>0</v>
      </c>
      <c r="G67" s="269">
        <f t="shared" si="1"/>
        <v>0</v>
      </c>
      <c r="H67" s="269"/>
      <c r="I67" s="124"/>
      <c r="J67" s="124"/>
    </row>
    <row r="68" spans="1:10" hidden="1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0</v>
      </c>
      <c r="E68" s="168">
        <f>IF(B68&lt;=$F$15,(E$17*(VLOOKUP($H$2,Лист2!$A:$N,12,0)-(B68-1)*VLOOKUP($H$2,Лист2!$A:$N,13,0))),0)</f>
        <v>0</v>
      </c>
      <c r="F68" s="169">
        <f>ROUND((E$17-SUM(D$29:D67))*F$9*30/365,2)</f>
        <v>0</v>
      </c>
      <c r="G68" s="269">
        <f t="shared" si="1"/>
        <v>0</v>
      </c>
      <c r="H68" s="269"/>
      <c r="I68" s="124"/>
      <c r="J68" s="124"/>
    </row>
    <row r="69" spans="1:10" hidden="1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0</v>
      </c>
      <c r="E69" s="168">
        <f>IF(B69&lt;=$F$15,(E$17*(VLOOKUP($H$2,Лист2!$A:$N,12,0)-(B69-1)*VLOOKUP($H$2,Лист2!$A:$N,13,0))),0)</f>
        <v>0</v>
      </c>
      <c r="F69" s="169">
        <f>ROUND((E$17-SUM(D$29:D68))*F$9*30/365,2)</f>
        <v>0</v>
      </c>
      <c r="G69" s="269">
        <f t="shared" si="1"/>
        <v>0</v>
      </c>
      <c r="H69" s="269"/>
      <c r="I69" s="124"/>
      <c r="J69" s="124"/>
    </row>
    <row r="70" spans="1:10" hidden="1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0</v>
      </c>
      <c r="E70" s="168">
        <f>IF(B70&lt;=$F$15,(E$17*(VLOOKUP($H$2,Лист2!$A:$N,12,0)-(B70-1)*VLOOKUP($H$2,Лист2!$A:$N,13,0))),0)</f>
        <v>0</v>
      </c>
      <c r="F70" s="169">
        <f>ROUND((E$17-SUM(D$29:D69))*F$9*30/365,2)</f>
        <v>0</v>
      </c>
      <c r="G70" s="269">
        <f t="shared" si="1"/>
        <v>0</v>
      </c>
      <c r="H70" s="269"/>
      <c r="I70" s="124"/>
      <c r="J70" s="124"/>
    </row>
    <row r="71" spans="1:10" hidden="1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0</v>
      </c>
      <c r="E71" s="168">
        <f>IF(B71&lt;=$F$15,(E$17*(VLOOKUP($H$2,Лист2!$A:$N,12,0)-(B71-1)*VLOOKUP($H$2,Лист2!$A:$N,13,0))),0)</f>
        <v>0</v>
      </c>
      <c r="F71" s="169">
        <f>ROUND((E$17-SUM(D$29:D70))*F$9*30/365,2)</f>
        <v>0</v>
      </c>
      <c r="G71" s="269">
        <f t="shared" si="1"/>
        <v>0</v>
      </c>
      <c r="H71" s="269"/>
      <c r="I71" s="124"/>
      <c r="J71" s="124"/>
    </row>
    <row r="72" spans="1:10" hidden="1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0</v>
      </c>
      <c r="E72" s="168">
        <f>IF(B72&lt;=$F$15,(E$17*(VLOOKUP($H$2,Лист2!$A:$N,12,0)-(B72-1)*VLOOKUP($H$2,Лист2!$A:$N,13,0))),0)</f>
        <v>0</v>
      </c>
      <c r="F72" s="169">
        <f>ROUND((E$17-SUM(D$29:D71))*F$9*30/365,2)</f>
        <v>0</v>
      </c>
      <c r="G72" s="269">
        <f t="shared" si="1"/>
        <v>0</v>
      </c>
      <c r="H72" s="269"/>
      <c r="I72" s="124"/>
      <c r="J72" s="124"/>
    </row>
    <row r="73" spans="1:10" hidden="1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0</v>
      </c>
      <c r="E73" s="168">
        <f>IF(B73&lt;=$F$15,(E$17*(VLOOKUP($H$2,Лист2!$A:$N,12,0)-(B73-1)*VLOOKUP($H$2,Лист2!$A:$N,13,0))),0)</f>
        <v>0</v>
      </c>
      <c r="F73" s="169">
        <f>ROUND((E$17-SUM(D$29:D72))*F$9*30/365,2)</f>
        <v>0</v>
      </c>
      <c r="G73" s="269">
        <f t="shared" si="1"/>
        <v>0</v>
      </c>
      <c r="H73" s="269"/>
      <c r="I73" s="124"/>
      <c r="J73" s="124"/>
    </row>
    <row r="74" spans="1:10" hidden="1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0</v>
      </c>
      <c r="E74" s="168">
        <f>IF(B74&lt;=$F$15,(E$17*(VLOOKUP($H$2,Лист2!$A:$N,12,0)-(B74-1)*VLOOKUP($H$2,Лист2!$A:$N,13,0))),0)</f>
        <v>0</v>
      </c>
      <c r="F74" s="169">
        <f>ROUND((E$17-SUM(D$29:D73))*F$9*30/365,2)</f>
        <v>0</v>
      </c>
      <c r="G74" s="269">
        <f t="shared" si="1"/>
        <v>0</v>
      </c>
      <c r="H74" s="269"/>
      <c r="I74" s="124"/>
      <c r="J74" s="124"/>
    </row>
    <row r="75" spans="1:10" hidden="1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0</v>
      </c>
      <c r="E75" s="168">
        <f>IF(B75&lt;=$F$15,(E$17*(VLOOKUP($H$2,Лист2!$A:$N,12,0)-(B75-1)*VLOOKUP($H$2,Лист2!$A:$N,13,0))),0)</f>
        <v>0</v>
      </c>
      <c r="F75" s="169">
        <f>ROUND((E$17-SUM(D$29:D74))*F$9*30/365,2)</f>
        <v>0</v>
      </c>
      <c r="G75" s="269">
        <f t="shared" si="1"/>
        <v>0</v>
      </c>
      <c r="H75" s="269"/>
      <c r="I75" s="124"/>
      <c r="J75" s="124"/>
    </row>
    <row r="76" spans="1:10" hidden="1" x14ac:dyDescent="0.25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0</v>
      </c>
      <c r="E76" s="168">
        <f>IF(B76&lt;=$F$15,(E$17*(VLOOKUP($H$2,Лист2!$A:$N,12,0)-(B76-1)*VLOOKUP($H$2,Лист2!$A:$N,13,0))),0)</f>
        <v>0</v>
      </c>
      <c r="F76" s="169">
        <f>ROUND((E$17-SUM(D$29:D75))*F$9*30/365,2)</f>
        <v>0</v>
      </c>
      <c r="G76" s="269">
        <f t="shared" si="1"/>
        <v>0</v>
      </c>
      <c r="H76" s="269"/>
      <c r="I76" s="124"/>
      <c r="J76" s="124"/>
    </row>
    <row r="77" spans="1:10" hidden="1" x14ac:dyDescent="0.25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0" hidden="1" x14ac:dyDescent="0.25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0" hidden="1" x14ac:dyDescent="0.25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0" hidden="1" x14ac:dyDescent="0.25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idden="1" x14ac:dyDescent="0.25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idden="1" x14ac:dyDescent="0.25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idden="1" x14ac:dyDescent="0.25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idden="1" x14ac:dyDescent="0.25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idden="1" x14ac:dyDescent="0.25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idden="1" x14ac:dyDescent="0.25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idden="1" x14ac:dyDescent="0.25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97750</v>
      </c>
      <c r="E89" s="174">
        <f>SUM(E29:E88)</f>
        <v>123165.00000000001</v>
      </c>
      <c r="F89" s="174">
        <f>SUM(F29:F88)</f>
        <v>14.849999999999998</v>
      </c>
      <c r="G89" s="263">
        <f>SUM(G29:H88)</f>
        <v>220929.84999999986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7:E7"/>
    <mergeCell ref="H1:I1"/>
    <mergeCell ref="H2:I2"/>
    <mergeCell ref="F3:F4"/>
    <mergeCell ref="H3:I3"/>
    <mergeCell ref="B5:E5"/>
    <mergeCell ref="B9:E9"/>
    <mergeCell ref="G9:H9"/>
    <mergeCell ref="B11:E11"/>
    <mergeCell ref="G11:H11"/>
    <mergeCell ref="B13:E13"/>
    <mergeCell ref="G13:H13"/>
    <mergeCell ref="B15:E15"/>
    <mergeCell ref="G15:H15"/>
    <mergeCell ref="B18:E18"/>
    <mergeCell ref="G18:H18"/>
    <mergeCell ref="B20:E20"/>
    <mergeCell ref="G20:H20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</mergeCells>
  <dataValidations count="1">
    <dataValidation type="list" showInputMessage="1" showErrorMessage="1" sqref="H2:I2">
      <formula1>$K$28:$K$32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VLOOKUP('Консолідований Х'!H2,Лист2!A:N,14,FALSE)</f>
        <v>1000</v>
      </c>
      <c r="F2" s="118">
        <f>VLOOKUP(H$2,Лист2!$A:$G,2,0)</f>
        <v>85189</v>
      </c>
      <c r="G2" s="135">
        <f ca="1">TODAY()</f>
        <v>44089</v>
      </c>
      <c r="H2" s="286" t="s">
        <v>101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1000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85189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1000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1175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1.9900000000000001E-2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0.17499999999999999</v>
      </c>
      <c r="G11" s="273"/>
      <c r="H11" s="273"/>
      <c r="I11" s="3"/>
      <c r="J11" s="53"/>
      <c r="K11" s="132"/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3.2000000000000001E-2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60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175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1175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58.189978147190239</v>
      </c>
      <c r="G18" s="277"/>
      <c r="H18" s="278"/>
      <c r="I18" s="123"/>
      <c r="J18" s="54"/>
      <c r="K18" s="132" t="str">
        <f>Лист2!A10</f>
        <v>Термін, 36 міс. (ПУМБ)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str">
        <f>Лист2!A11</f>
        <v>Термін, 30 міс. (ПУМБ)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2491.3585449374577</v>
      </c>
      <c r="G20" s="279"/>
      <c r="H20" s="279"/>
      <c r="I20" s="1"/>
      <c r="J20" s="55"/>
      <c r="K20" s="132" t="str">
        <f>Лист2!A12</f>
        <v>Термін, 24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Лист2!A13</f>
        <v>Термін, 18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3491.3585449374577</v>
      </c>
      <c r="G22" s="273"/>
      <c r="H22" s="273"/>
      <c r="I22" s="1"/>
      <c r="J22" s="55"/>
      <c r="K22" s="132" t="str">
        <f>Лист2!A14</f>
        <v>Термін, 12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Лист2!A15</f>
        <v>Термін, 36 міс. (ПУМБ БК)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0.92321442365646367</v>
      </c>
      <c r="G24" s="159"/>
      <c r="H24" s="22"/>
      <c r="I24" s="1"/>
      <c r="J24" s="1"/>
      <c r="K24" s="132" t="str">
        <f>Лист2!A16</f>
        <v>Термін, 30 міс. (ПУМБ БК)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K25" s="132" t="str">
        <f>Лист2!A17</f>
        <v>Термін, 24 міс. (ПУМБ БК)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str">
        <f>Лист2!A18</f>
        <v>Термін, 18 міс. (ПУМБ БК)</v>
      </c>
    </row>
    <row r="27" spans="1:29" ht="31.2" customHeight="1" thickBot="1" x14ac:dyDescent="0.3">
      <c r="A27" s="1"/>
      <c r="B27" s="178" t="s">
        <v>39</v>
      </c>
      <c r="C27" s="178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str">
        <f>Лист2!A19</f>
        <v>Термін, 12 міс. (ПУМБ БК)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-1000</v>
      </c>
      <c r="H28" s="272"/>
      <c r="I28" s="3"/>
      <c r="K28" s="132" t="str">
        <f>Лист2!A20</f>
        <v>Термін, 36 міс. (СФ)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6.7256273982326054</v>
      </c>
      <c r="E29" s="166">
        <f>IF(B29&lt;=$F$15,(E$17*(VLOOKUP($H$2,Лист2!$A:$N,12,0)-(B29-1)*VLOOKUP($H$2,Лист2!$A:$N,13,0))),0)</f>
        <v>49.544350748957633</v>
      </c>
      <c r="F29" s="166">
        <f>ROUND(E$17*F$9*30/365,2)</f>
        <v>1.92</v>
      </c>
      <c r="G29" s="269">
        <f>SUM(D29:F29)</f>
        <v>58.189978147190239</v>
      </c>
      <c r="H29" s="269"/>
      <c r="I29" s="3"/>
      <c r="K29" s="132" t="str">
        <f>Лист2!A21</f>
        <v>Термін, 24 міс. (СФ)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7.1468773982326077</v>
      </c>
      <c r="E30" s="168">
        <f>IF(B30&lt;=$F$15,(E$17*(VLOOKUP($H$2,Лист2!$A:$N,12,0)-(B30-1)*VLOOKUP($H$2,Лист2!$A:$N,13,0))),0)</f>
        <v>49.133100748957631</v>
      </c>
      <c r="F30" s="169">
        <f>ROUND((E$17-SUM(D$29:D29))*F$9*30/365,2)</f>
        <v>1.91</v>
      </c>
      <c r="G30" s="269">
        <f t="shared" ref="G30:G88" si="1">SUM(D30:F30)</f>
        <v>58.189978147190232</v>
      </c>
      <c r="H30" s="269"/>
      <c r="I30" s="3"/>
      <c r="K30" s="132" t="str">
        <f>Лист2!A22</f>
        <v>Термін, 18 міс. (СФ)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7.5681273982326029</v>
      </c>
      <c r="E31" s="168">
        <f>IF(B31&lt;=$F$15,(E$17*(VLOOKUP($H$2,Лист2!$A:$N,12,0)-(B31-1)*VLOOKUP($H$2,Лист2!$A:$N,13,0))),0)</f>
        <v>48.721850748957635</v>
      </c>
      <c r="F31" s="169">
        <f>ROUND((E$17-SUM(D$29:D30))*F$9*30/365,2)</f>
        <v>1.9</v>
      </c>
      <c r="G31" s="269">
        <f t="shared" si="1"/>
        <v>58.189978147190239</v>
      </c>
      <c r="H31" s="269"/>
      <c r="I31" s="3"/>
      <c r="K31" s="132" t="str">
        <f>Лист2!A23</f>
        <v>Термін, 12 міс. (СФ)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7.9893773982326062</v>
      </c>
      <c r="E32" s="168">
        <f>IF(B32&lt;=$F$15,(E$17*(VLOOKUP($H$2,Лист2!$A:$N,12,0)-(B32-1)*VLOOKUP($H$2,Лист2!$A:$N,13,0))),0)</f>
        <v>48.310600748957633</v>
      </c>
      <c r="F32" s="169">
        <f>ROUND((E$17-SUM(D$29:D31))*F$9*30/365,2)</f>
        <v>1.89</v>
      </c>
      <c r="G32" s="269">
        <f t="shared" si="1"/>
        <v>58.189978147190239</v>
      </c>
      <c r="H32" s="269"/>
      <c r="I32" s="3"/>
      <c r="K32" s="132" t="str">
        <f>Лист2!A24</f>
        <v>Консолідований Х, 60 міс.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8.4206273982326003</v>
      </c>
      <c r="E33" s="168">
        <f>IF(B33&lt;=$F$15,(E$17*(VLOOKUP($H$2,Лист2!$A:$N,12,0)-(B33-1)*VLOOKUP($H$2,Лист2!$A:$N,13,0))),0)</f>
        <v>47.899350748957637</v>
      </c>
      <c r="F33" s="169">
        <f>ROUND((E$17-SUM(D$29:D32))*F$9*30/365,2)</f>
        <v>1.87</v>
      </c>
      <c r="G33" s="269">
        <f t="shared" si="1"/>
        <v>58.189978147190239</v>
      </c>
      <c r="H33" s="269"/>
      <c r="I33" s="3"/>
      <c r="K33" s="132" t="str">
        <f>Лист2!A25</f>
        <v>Консолідований Х, 48 міс.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8.8418773982326044</v>
      </c>
      <c r="E34" s="168">
        <f>IF(B34&lt;=$F$15,(E$17*(VLOOKUP($H$2,Лист2!$A:$N,12,0)-(B34-1)*VLOOKUP($H$2,Лист2!$A:$N,13,0))),0)</f>
        <v>47.488100748957635</v>
      </c>
      <c r="F34" s="169">
        <f>ROUND((E$17-SUM(D$29:D33))*F$9*30/365,2)</f>
        <v>1.86</v>
      </c>
      <c r="G34" s="269">
        <f t="shared" si="1"/>
        <v>58.189978147190239</v>
      </c>
      <c r="H34" s="269"/>
      <c r="I34" s="3"/>
      <c r="K34" s="132" t="str">
        <f>Лист2!A26</f>
        <v>Консолідований Х, 36 міс.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9.2631273982325997</v>
      </c>
      <c r="E35" s="168">
        <f>IF(B35&lt;=$F$15,(E$17*(VLOOKUP($H$2,Лист2!$A:$N,12,0)-(B35-1)*VLOOKUP($H$2,Лист2!$A:$N,13,0))),0)</f>
        <v>47.076850748957639</v>
      </c>
      <c r="F35" s="169">
        <f>ROUND((E$17-SUM(D$29:D34))*F$9*30/365,2)</f>
        <v>1.85</v>
      </c>
      <c r="G35" s="269">
        <f t="shared" si="1"/>
        <v>58.189978147190239</v>
      </c>
      <c r="H35" s="269"/>
      <c r="I35" s="3"/>
      <c r="K35" s="132" t="str">
        <f>Лист2!A27</f>
        <v>Консолідований Х, 24 міс.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9.6943773982326089</v>
      </c>
      <c r="E36" s="168">
        <f>IF(B36&lt;=$F$15,(E$17*(VLOOKUP($H$2,Лист2!$A:$N,12,0)-(B36-1)*VLOOKUP($H$2,Лист2!$A:$N,13,0))),0)</f>
        <v>46.66560074895763</v>
      </c>
      <c r="F36" s="169">
        <f>ROUND((E$17-SUM(D$29:D35))*F$9*30/365,2)</f>
        <v>1.83</v>
      </c>
      <c r="G36" s="269">
        <f t="shared" si="1"/>
        <v>58.189978147190239</v>
      </c>
      <c r="H36" s="269"/>
      <c r="I36" s="3"/>
      <c r="K36" s="132" t="str">
        <f>Лист2!A28</f>
        <v>Консолідований Х, 18 міс.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10.125627398232604</v>
      </c>
      <c r="E37" s="168">
        <f>IF(B37&lt;=$F$15,(E$17*(VLOOKUP($H$2,Лист2!$A:$N,12,0)-(B37-1)*VLOOKUP($H$2,Лист2!$A:$N,13,0))),0)</f>
        <v>46.254350748957634</v>
      </c>
      <c r="F37" s="169">
        <f>ROUND((E$17-SUM(D$29:D36))*F$9*30/365,2)</f>
        <v>1.81</v>
      </c>
      <c r="G37" s="269">
        <f t="shared" si="1"/>
        <v>58.189978147190239</v>
      </c>
      <c r="H37" s="269"/>
      <c r="I37" s="3"/>
      <c r="K37" s="132" t="str">
        <f>Лист2!A29</f>
        <v>Консолідований Х, 12 міс.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10.546877398232606</v>
      </c>
      <c r="E38" s="168">
        <f>IF(B38&lt;=$F$15,(E$17*(VLOOKUP($H$2,Лист2!$A:$N,12,0)-(B38-1)*VLOOKUP($H$2,Лист2!$A:$N,13,0))),0)</f>
        <v>45.843100748957632</v>
      </c>
      <c r="F38" s="169">
        <f>ROUND((E$17-SUM(D$29:D37))*F$9*30/365,2)</f>
        <v>1.8</v>
      </c>
      <c r="G38" s="269">
        <f t="shared" si="1"/>
        <v>58.189978147190232</v>
      </c>
      <c r="H38" s="269"/>
      <c r="I38" s="3"/>
      <c r="K38" s="132" t="str">
        <f>Лист2!A30</f>
        <v>Для ВАС Х, 48 міс.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10.97812739823261</v>
      </c>
      <c r="E39" s="168">
        <f>IF(B39&lt;=$F$15,(E$17*(VLOOKUP($H$2,Лист2!$A:$N,12,0)-(B39-1)*VLOOKUP($H$2,Лист2!$A:$N,13,0))),0)</f>
        <v>45.431850748957629</v>
      </c>
      <c r="F39" s="169">
        <f>ROUND((E$17-SUM(D$29:D38))*F$9*30/365,2)</f>
        <v>1.78</v>
      </c>
      <c r="G39" s="269">
        <f t="shared" si="1"/>
        <v>58.189978147190239</v>
      </c>
      <c r="H39" s="269"/>
      <c r="I39" s="3"/>
      <c r="K39" s="132" t="str">
        <f>Лист2!A31</f>
        <v>Для ВАС Х, 36 міс.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11.409377398232605</v>
      </c>
      <c r="E40" s="168">
        <f>IF(B40&lt;=$F$15,(E$17*(VLOOKUP($H$2,Лист2!$A:$N,12,0)-(B40-1)*VLOOKUP($H$2,Лист2!$A:$N,13,0))),0)</f>
        <v>45.020600748957634</v>
      </c>
      <c r="F40" s="169">
        <f>ROUND((E$17-SUM(D$29:D39))*F$9*30/365,2)</f>
        <v>1.76</v>
      </c>
      <c r="G40" s="269">
        <f t="shared" si="1"/>
        <v>58.189978147190239</v>
      </c>
      <c r="H40" s="269"/>
      <c r="I40" s="3"/>
      <c r="K40" s="132" t="str">
        <f>Лист2!A32</f>
        <v>Для ВАС Х, 30 міс.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11.840627398232607</v>
      </c>
      <c r="E41" s="168">
        <f>IF(B41&lt;=$F$15,(E$17*(VLOOKUP($H$2,Лист2!$A:$N,12,0)-(B41-1)*VLOOKUP($H$2,Лист2!$A:$N,13,0))),0)</f>
        <v>44.609350748957631</v>
      </c>
      <c r="F41" s="169">
        <f>ROUND((E$17-SUM(D$29:D40))*F$9*30/365,2)</f>
        <v>1.74</v>
      </c>
      <c r="G41" s="269">
        <f t="shared" si="1"/>
        <v>58.189978147190239</v>
      </c>
      <c r="H41" s="269"/>
      <c r="I41" s="3"/>
      <c r="K41" s="132" t="str">
        <f>Лист2!A33</f>
        <v>Для ВАС Х, 24 міс.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12.271877398232602</v>
      </c>
      <c r="E42" s="168">
        <f>IF(B42&lt;=$F$15,(E$17*(VLOOKUP($H$2,Лист2!$A:$N,12,0)-(B42-1)*VLOOKUP($H$2,Лист2!$A:$N,13,0))),0)</f>
        <v>44.198100748957636</v>
      </c>
      <c r="F42" s="169">
        <f>ROUND((E$17-SUM(D$29:D41))*F$9*30/365,2)</f>
        <v>1.72</v>
      </c>
      <c r="G42" s="269">
        <f t="shared" si="1"/>
        <v>58.189978147190239</v>
      </c>
      <c r="H42" s="269"/>
      <c r="I42" s="3"/>
      <c r="K42" s="132" t="str">
        <f>Лист2!A34</f>
        <v>Для ВАС Х, 18 міс.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12.703127398232606</v>
      </c>
      <c r="E43" s="168">
        <f>IF(B43&lt;=$F$15,(E$17*(VLOOKUP($H$2,Лист2!$A:$N,12,0)-(B43-1)*VLOOKUP($H$2,Лист2!$A:$N,13,0))),0)</f>
        <v>43.786850748957633</v>
      </c>
      <c r="F43" s="169">
        <f>ROUND((E$17-SUM(D$29:D42))*F$9*30/365,2)</f>
        <v>1.7</v>
      </c>
      <c r="G43" s="269">
        <f t="shared" si="1"/>
        <v>58.189978147190246</v>
      </c>
      <c r="H43" s="269"/>
      <c r="I43" s="3"/>
      <c r="K43" s="132" t="str">
        <f>Лист2!A35</f>
        <v>Для ВАС Х, 12 міс.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13.134377398232601</v>
      </c>
      <c r="E44" s="168">
        <f>IF(B44&lt;=$F$15,(E$17*(VLOOKUP($H$2,Лист2!$A:$N,12,0)-(B44-1)*VLOOKUP($H$2,Лист2!$A:$N,13,0))),0)</f>
        <v>43.375600748957638</v>
      </c>
      <c r="F44" s="169">
        <f>ROUND((E$17-SUM(D$29:D43))*F$9*30/365,2)</f>
        <v>1.68</v>
      </c>
      <c r="G44" s="269">
        <f t="shared" si="1"/>
        <v>58.189978147190239</v>
      </c>
      <c r="H44" s="269"/>
      <c r="I44" s="3"/>
      <c r="K44" s="132" t="str">
        <f>Лист2!A36</f>
        <v>Бюджетний Х, 48 міс.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13.565627398232603</v>
      </c>
      <c r="E45" s="168">
        <f>IF(B45&lt;=$F$15,(E$17*(VLOOKUP($H$2,Лист2!$A:$N,12,0)-(B45-1)*VLOOKUP($H$2,Лист2!$A:$N,13,0))),0)</f>
        <v>42.964350748957635</v>
      </c>
      <c r="F45" s="169">
        <f>ROUND((E$17-SUM(D$29:D44))*F$9*30/365,2)</f>
        <v>1.66</v>
      </c>
      <c r="G45" s="269">
        <f t="shared" si="1"/>
        <v>58.189978147190232</v>
      </c>
      <c r="H45" s="269"/>
      <c r="I45" s="3"/>
      <c r="K45" s="132"/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13.996877398232598</v>
      </c>
      <c r="E46" s="168">
        <f>IF(B46&lt;=$F$15,(E$17*(VLOOKUP($H$2,Лист2!$A:$N,12,0)-(B46-1)*VLOOKUP($H$2,Лист2!$A:$N,13,0))),0)</f>
        <v>42.55310074895764</v>
      </c>
      <c r="F46" s="169">
        <f>ROUND((E$17-SUM(D$29:D45))*F$9*30/365,2)</f>
        <v>1.64</v>
      </c>
      <c r="G46" s="269">
        <f t="shared" si="1"/>
        <v>58.189978147190239</v>
      </c>
      <c r="H46" s="269"/>
      <c r="I46" s="3"/>
      <c r="K46" s="132"/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14.428127398232608</v>
      </c>
      <c r="E47" s="168">
        <f>IF(B47&lt;=$F$15,(E$17*(VLOOKUP($H$2,Лист2!$A:$N,12,0)-(B47-1)*VLOOKUP($H$2,Лист2!$A:$N,13,0))),0)</f>
        <v>42.14185074895763</v>
      </c>
      <c r="F47" s="169">
        <f>ROUND((E$17-SUM(D$29:D46))*F$9*30/365,2)</f>
        <v>1.62</v>
      </c>
      <c r="G47" s="269">
        <f t="shared" si="1"/>
        <v>58.189978147190239</v>
      </c>
      <c r="H47" s="269"/>
      <c r="I47" s="3"/>
      <c r="K47" s="132"/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14.869377398232604</v>
      </c>
      <c r="E48" s="168">
        <f>IF(B48&lt;=$F$15,(E$17*(VLOOKUP($H$2,Лист2!$A:$N,12,0)-(B48-1)*VLOOKUP($H$2,Лист2!$A:$N,13,0))),0)</f>
        <v>41.730600748957634</v>
      </c>
      <c r="F48" s="169">
        <f>ROUND((E$17-SUM(D$29:D47))*F$9*30/365,2)</f>
        <v>1.59</v>
      </c>
      <c r="G48" s="269">
        <f t="shared" si="1"/>
        <v>58.189978147190246</v>
      </c>
      <c r="H48" s="269"/>
      <c r="I48" s="3"/>
      <c r="K48" s="132"/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15.300627398232606</v>
      </c>
      <c r="E49" s="168">
        <f>IF(B49&lt;=$F$15,(E$17*(VLOOKUP($H$2,Лист2!$A:$N,12,0)-(B49-1)*VLOOKUP($H$2,Лист2!$A:$N,13,0))),0)</f>
        <v>41.319350748957632</v>
      </c>
      <c r="F49" s="169">
        <f>ROUND((E$17-SUM(D$29:D48))*F$9*30/365,2)</f>
        <v>1.57</v>
      </c>
      <c r="G49" s="269">
        <f t="shared" si="1"/>
        <v>58.189978147190239</v>
      </c>
      <c r="H49" s="269"/>
      <c r="I49" s="3"/>
      <c r="K49" s="132"/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15.74187739823261</v>
      </c>
      <c r="E50" s="168">
        <f>IF(B50&lt;=$F$15,(E$17*(VLOOKUP($H$2,Лист2!$A:$N,12,0)-(B50-1)*VLOOKUP($H$2,Лист2!$A:$N,13,0))),0)</f>
        <v>40.908100748957629</v>
      </c>
      <c r="F50" s="169">
        <f>ROUND((E$17-SUM(D$29:D49))*F$9*30/365,2)</f>
        <v>1.54</v>
      </c>
      <c r="G50" s="269">
        <f t="shared" si="1"/>
        <v>58.189978147190239</v>
      </c>
      <c r="H50" s="269"/>
      <c r="I50" s="3"/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16.173127398232605</v>
      </c>
      <c r="E51" s="168">
        <f>IF(B51&lt;=$F$15,(E$17*(VLOOKUP($H$2,Лист2!$A:$N,12,0)-(B51-1)*VLOOKUP($H$2,Лист2!$A:$N,13,0))),0)</f>
        <v>40.496850748957634</v>
      </c>
      <c r="F51" s="169">
        <f>ROUND((E$17-SUM(D$29:D50))*F$9*30/365,2)</f>
        <v>1.52</v>
      </c>
      <c r="G51" s="269">
        <f t="shared" si="1"/>
        <v>58.189978147190239</v>
      </c>
      <c r="H51" s="269"/>
      <c r="I51" s="3"/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16.614377398232609</v>
      </c>
      <c r="E52" s="168">
        <f>IF(B52&lt;=$F$15,(E$17*(VLOOKUP($H$2,Лист2!$A:$N,12,0)-(B52-1)*VLOOKUP($H$2,Лист2!$A:$N,13,0))),0)</f>
        <v>40.085600748957631</v>
      </c>
      <c r="F52" s="169">
        <f>ROUND((E$17-SUM(D$29:D51))*F$9*30/365,2)</f>
        <v>1.49</v>
      </c>
      <c r="G52" s="269">
        <f t="shared" si="1"/>
        <v>58.189978147190239</v>
      </c>
      <c r="H52" s="269"/>
      <c r="I52" s="3"/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17.055627398232602</v>
      </c>
      <c r="E53" s="168">
        <f>IF(B53&lt;=$F$15,(E$17*(VLOOKUP($H$2,Лист2!$A:$N,12,0)-(B53-1)*VLOOKUP($H$2,Лист2!$A:$N,13,0))),0)</f>
        <v>39.674350748957636</v>
      </c>
      <c r="F53" s="169">
        <f>ROUND((E$17-SUM(D$29:D52))*F$9*30/365,2)</f>
        <v>1.46</v>
      </c>
      <c r="G53" s="269">
        <f t="shared" si="1"/>
        <v>58.189978147190239</v>
      </c>
      <c r="H53" s="269"/>
      <c r="I53" s="3"/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17.486877398232604</v>
      </c>
      <c r="E54" s="168">
        <f>IF(B54&lt;=$F$15,(E$17*(VLOOKUP($H$2,Лист2!$A:$N,12,0)-(B54-1)*VLOOKUP($H$2,Лист2!$A:$N,13,0))),0)</f>
        <v>39.263100748957633</v>
      </c>
      <c r="F54" s="169">
        <f>ROUND((E$17-SUM(D$29:D53))*F$9*30/365,2)</f>
        <v>1.44</v>
      </c>
      <c r="G54" s="269">
        <f t="shared" si="1"/>
        <v>58.189978147190232</v>
      </c>
      <c r="H54" s="269"/>
      <c r="I54" s="3"/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17.928127398232608</v>
      </c>
      <c r="E55" s="168">
        <f>IF(B55&lt;=$F$15,(E$17*(VLOOKUP($H$2,Лист2!$A:$N,12,0)-(B55-1)*VLOOKUP($H$2,Лист2!$A:$N,13,0))),0)</f>
        <v>38.851850748957631</v>
      </c>
      <c r="F55" s="169">
        <f>ROUND((E$17-SUM(D$29:D54))*F$9*30/365,2)</f>
        <v>1.41</v>
      </c>
      <c r="G55" s="269">
        <f t="shared" si="1"/>
        <v>58.189978147190232</v>
      </c>
      <c r="H55" s="269"/>
      <c r="I55" s="3"/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18.369377398232604</v>
      </c>
      <c r="E56" s="168">
        <f>IF(B56&lt;=$F$15,(E$17*(VLOOKUP($H$2,Лист2!$A:$N,12,0)-(B56-1)*VLOOKUP($H$2,Лист2!$A:$N,13,0))),0)</f>
        <v>38.440600748957635</v>
      </c>
      <c r="F56" s="169">
        <f>ROUND((E$17-SUM(D$29:D55))*F$9*30/365,2)</f>
        <v>1.38</v>
      </c>
      <c r="G56" s="269">
        <f t="shared" si="1"/>
        <v>58.189978147190239</v>
      </c>
      <c r="H56" s="269"/>
      <c r="I56" s="3"/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18.810627398232597</v>
      </c>
      <c r="E57" s="168">
        <f>IF(B57&lt;=$F$15,(E$17*(VLOOKUP($H$2,Лист2!$A:$N,12,0)-(B57-1)*VLOOKUP($H$2,Лист2!$A:$N,13,0))),0)</f>
        <v>38.02935074895764</v>
      </c>
      <c r="F57" s="169">
        <f>ROUND((E$17-SUM(D$29:D56))*F$9*30/365,2)</f>
        <v>1.35</v>
      </c>
      <c r="G57" s="269">
        <f t="shared" si="1"/>
        <v>58.189978147190239</v>
      </c>
      <c r="H57" s="269"/>
      <c r="I57" s="3"/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19.251877398232601</v>
      </c>
      <c r="E58" s="168">
        <f>IF(B58&lt;=$F$15,(E$17*(VLOOKUP($H$2,Лист2!$A:$N,12,0)-(B58-1)*VLOOKUP($H$2,Лист2!$A:$N,13,0))),0)</f>
        <v>37.618100748957637</v>
      </c>
      <c r="F58" s="169">
        <f>ROUND((E$17-SUM(D$29:D57))*F$9*30/365,2)</f>
        <v>1.32</v>
      </c>
      <c r="G58" s="269">
        <f t="shared" si="1"/>
        <v>58.189978147190239</v>
      </c>
      <c r="H58" s="269"/>
      <c r="I58" s="124"/>
      <c r="J58" s="124"/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19.693127398232612</v>
      </c>
      <c r="E59" s="168">
        <f>IF(B59&lt;=$F$15,(E$17*(VLOOKUP($H$2,Лист2!$A:$N,12,0)-(B59-1)*VLOOKUP($H$2,Лист2!$A:$N,13,0))),0)</f>
        <v>37.206850748957628</v>
      </c>
      <c r="F59" s="169">
        <f>ROUND((E$17-SUM(D$29:D58))*F$9*30/365,2)</f>
        <v>1.29</v>
      </c>
      <c r="G59" s="269">
        <f t="shared" si="1"/>
        <v>58.189978147190239</v>
      </c>
      <c r="H59" s="269"/>
      <c r="I59" s="124"/>
      <c r="J59" s="124"/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20.144377398232606</v>
      </c>
      <c r="E60" s="168">
        <f>IF(B60&lt;=$F$15,(E$17*(VLOOKUP($H$2,Лист2!$A:$N,12,0)-(B60-1)*VLOOKUP($H$2,Лист2!$A:$N,13,0))),0)</f>
        <v>36.795600748957632</v>
      </c>
      <c r="F60" s="169">
        <f>ROUND((E$17-SUM(D$29:D59))*F$9*30/365,2)</f>
        <v>1.25</v>
      </c>
      <c r="G60" s="269">
        <f t="shared" si="1"/>
        <v>58.189978147190239</v>
      </c>
      <c r="H60" s="269"/>
      <c r="I60" s="124"/>
      <c r="J60" s="124"/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20.58562739823261</v>
      </c>
      <c r="E61" s="168">
        <f>IF(B61&lt;=$F$15,(E$17*(VLOOKUP($H$2,Лист2!$A:$N,12,0)-(B61-1)*VLOOKUP($H$2,Лист2!$A:$N,13,0))),0)</f>
        <v>36.38435074895763</v>
      </c>
      <c r="F61" s="169">
        <f>ROUND((E$17-SUM(D$29:D60))*F$9*30/365,2)</f>
        <v>1.22</v>
      </c>
      <c r="G61" s="269">
        <f t="shared" si="1"/>
        <v>58.189978147190239</v>
      </c>
      <c r="H61" s="269"/>
      <c r="I61" s="124"/>
      <c r="J61" s="124"/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21.026877398232603</v>
      </c>
      <c r="E62" s="168">
        <f>IF(B62&lt;=$F$15,(E$17*(VLOOKUP($H$2,Лист2!$A:$N,12,0)-(B62-1)*VLOOKUP($H$2,Лист2!$A:$N,13,0))),0)</f>
        <v>35.973100748957634</v>
      </c>
      <c r="F62" s="169">
        <f>ROUND((E$17-SUM(D$29:D61))*F$9*30/365,2)</f>
        <v>1.19</v>
      </c>
      <c r="G62" s="269">
        <f t="shared" si="1"/>
        <v>58.189978147190232</v>
      </c>
      <c r="H62" s="269"/>
      <c r="I62" s="124"/>
      <c r="J62" s="124"/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21.478127398232608</v>
      </c>
      <c r="E63" s="168">
        <f>IF(B63&lt;=$F$15,(E$17*(VLOOKUP($H$2,Лист2!$A:$N,12,0)-(B63-1)*VLOOKUP($H$2,Лист2!$A:$N,13,0))),0)</f>
        <v>35.561850748957632</v>
      </c>
      <c r="F63" s="169">
        <f>ROUND((E$17-SUM(D$29:D62))*F$9*30/365,2)</f>
        <v>1.1499999999999999</v>
      </c>
      <c r="G63" s="269">
        <f t="shared" si="1"/>
        <v>58.189978147190239</v>
      </c>
      <c r="H63" s="269"/>
      <c r="I63" s="124"/>
      <c r="J63" s="124"/>
    </row>
    <row r="64" spans="1:11" x14ac:dyDescent="0.25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21.919377398232609</v>
      </c>
      <c r="E64" s="168">
        <f>IF(B64&lt;=$F$15,(E$17*(VLOOKUP($H$2,Лист2!$A:$N,12,0)-(B64-1)*VLOOKUP($H$2,Лист2!$A:$N,13,0))),0)</f>
        <v>35.150600748957629</v>
      </c>
      <c r="F64" s="169">
        <f>ROUND((E$17-SUM(D$29:D63))*F$9*30/365,2)</f>
        <v>1.1200000000000001</v>
      </c>
      <c r="G64" s="269">
        <f t="shared" si="1"/>
        <v>58.189978147190239</v>
      </c>
      <c r="H64" s="269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22.370627398232607</v>
      </c>
      <c r="E65" s="168">
        <f>IF(B65&lt;=$F$15,(E$17*(VLOOKUP($H$2,Лист2!$A:$N,12,0)-(B65-1)*VLOOKUP($H$2,Лист2!$A:$N,13,0))),0)</f>
        <v>34.739350748957634</v>
      </c>
      <c r="F65" s="169">
        <f>ROUND((E$17-SUM(D$29:D64))*F$9*30/365,2)</f>
        <v>1.08</v>
      </c>
      <c r="G65" s="269">
        <f t="shared" si="1"/>
        <v>58.189978147190239</v>
      </c>
      <c r="H65" s="269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22.811877398232607</v>
      </c>
      <c r="E66" s="168">
        <f>IF(B66&lt;=$F$15,(E$17*(VLOOKUP($H$2,Лист2!$A:$N,12,0)-(B66-1)*VLOOKUP($H$2,Лист2!$A:$N,13,0))),0)</f>
        <v>34.328100748957631</v>
      </c>
      <c r="F66" s="169">
        <f>ROUND((E$17-SUM(D$29:D65))*F$9*30/365,2)</f>
        <v>1.05</v>
      </c>
      <c r="G66" s="269">
        <f t="shared" si="1"/>
        <v>58.189978147190232</v>
      </c>
      <c r="H66" s="269"/>
      <c r="I66" s="124"/>
      <c r="J66" s="124"/>
    </row>
    <row r="67" spans="1:10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23.263127398232601</v>
      </c>
      <c r="E67" s="168">
        <f>IF(B67&lt;=$F$15,(E$17*(VLOOKUP($H$2,Лист2!$A:$N,12,0)-(B67-1)*VLOOKUP($H$2,Лист2!$A:$N,13,0))),0)</f>
        <v>33.916850748957636</v>
      </c>
      <c r="F67" s="169">
        <f>ROUND((E$17-SUM(D$29:D66))*F$9*30/365,2)</f>
        <v>1.01</v>
      </c>
      <c r="G67" s="269">
        <f t="shared" si="1"/>
        <v>58.189978147190239</v>
      </c>
      <c r="H67" s="269"/>
      <c r="I67" s="124"/>
      <c r="J67" s="124"/>
    </row>
    <row r="68" spans="1:10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23.714377398232607</v>
      </c>
      <c r="E68" s="168">
        <f>IF(B68&lt;=$F$15,(E$17*(VLOOKUP($H$2,Лист2!$A:$N,12,0)-(B68-1)*VLOOKUP($H$2,Лист2!$A:$N,13,0))),0)</f>
        <v>33.505600748957633</v>
      </c>
      <c r="F68" s="169">
        <f>ROUND((E$17-SUM(D$29:D67))*F$9*30/365,2)</f>
        <v>0.97</v>
      </c>
      <c r="G68" s="269">
        <f t="shared" si="1"/>
        <v>58.189978147190239</v>
      </c>
      <c r="H68" s="269"/>
      <c r="I68" s="124"/>
      <c r="J68" s="124"/>
    </row>
    <row r="69" spans="1:10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24.165627398232601</v>
      </c>
      <c r="E69" s="168">
        <f>IF(B69&lt;=$F$15,(E$17*(VLOOKUP($H$2,Лист2!$A:$N,12,0)-(B69-1)*VLOOKUP($H$2,Лист2!$A:$N,13,0))),0)</f>
        <v>33.094350748957638</v>
      </c>
      <c r="F69" s="169">
        <f>ROUND((E$17-SUM(D$29:D68))*F$9*30/365,2)</f>
        <v>0.93</v>
      </c>
      <c r="G69" s="269">
        <f t="shared" si="1"/>
        <v>58.189978147190239</v>
      </c>
      <c r="H69" s="269"/>
      <c r="I69" s="124"/>
      <c r="J69" s="124"/>
    </row>
    <row r="70" spans="1:10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24.61687739823261</v>
      </c>
      <c r="E70" s="168">
        <f>IF(B70&lt;=$F$15,(E$17*(VLOOKUP($H$2,Лист2!$A:$N,12,0)-(B70-1)*VLOOKUP($H$2,Лист2!$A:$N,13,0))),0)</f>
        <v>32.683100748957628</v>
      </c>
      <c r="F70" s="169">
        <f>ROUND((E$17-SUM(D$29:D69))*F$9*30/365,2)</f>
        <v>0.89</v>
      </c>
      <c r="G70" s="269">
        <f t="shared" si="1"/>
        <v>58.189978147190239</v>
      </c>
      <c r="H70" s="269"/>
      <c r="I70" s="124"/>
      <c r="J70" s="124"/>
    </row>
    <row r="71" spans="1:10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25.068127398232605</v>
      </c>
      <c r="E71" s="168">
        <f>IF(B71&lt;=$F$15,(E$17*(VLOOKUP($H$2,Лист2!$A:$N,12,0)-(B71-1)*VLOOKUP($H$2,Лист2!$A:$N,13,0))),0)</f>
        <v>32.271850748957633</v>
      </c>
      <c r="F71" s="169">
        <f>ROUND((E$17-SUM(D$29:D70))*F$9*30/365,2)</f>
        <v>0.85</v>
      </c>
      <c r="G71" s="269">
        <f t="shared" si="1"/>
        <v>58.189978147190239</v>
      </c>
      <c r="H71" s="269"/>
      <c r="I71" s="124"/>
      <c r="J71" s="124"/>
    </row>
    <row r="72" spans="1:10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25.519377398232606</v>
      </c>
      <c r="E72" s="168">
        <f>IF(B72&lt;=$F$15,(E$17*(VLOOKUP($H$2,Лист2!$A:$N,12,0)-(B72-1)*VLOOKUP($H$2,Лист2!$A:$N,13,0))),0)</f>
        <v>31.860600748957633</v>
      </c>
      <c r="F72" s="169">
        <f>ROUND((E$17-SUM(D$29:D71))*F$9*30/365,2)</f>
        <v>0.81</v>
      </c>
      <c r="G72" s="269">
        <f t="shared" si="1"/>
        <v>58.189978147190246</v>
      </c>
      <c r="H72" s="269"/>
      <c r="I72" s="124"/>
      <c r="J72" s="124"/>
    </row>
    <row r="73" spans="1:10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25.970627398232608</v>
      </c>
      <c r="E73" s="168">
        <f>IF(B73&lt;=$F$15,(E$17*(VLOOKUP($H$2,Лист2!$A:$N,12,0)-(B73-1)*VLOOKUP($H$2,Лист2!$A:$N,13,0))),0)</f>
        <v>31.449350748957631</v>
      </c>
      <c r="F73" s="169">
        <f>ROUND((E$17-SUM(D$29:D72))*F$9*30/365,2)</f>
        <v>0.77</v>
      </c>
      <c r="G73" s="269">
        <f t="shared" si="1"/>
        <v>58.189978147190239</v>
      </c>
      <c r="H73" s="269"/>
      <c r="I73" s="124"/>
      <c r="J73" s="124"/>
    </row>
    <row r="74" spans="1:10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26.421877398232606</v>
      </c>
      <c r="E74" s="168">
        <f>IF(B74&lt;=$F$15,(E$17*(VLOOKUP($H$2,Лист2!$A:$N,12,0)-(B74-1)*VLOOKUP($H$2,Лист2!$A:$N,13,0))),0)</f>
        <v>31.038100748957632</v>
      </c>
      <c r="F74" s="169">
        <f>ROUND((E$17-SUM(D$29:D73))*F$9*30/365,2)</f>
        <v>0.73</v>
      </c>
      <c r="G74" s="269">
        <f t="shared" si="1"/>
        <v>58.189978147190239</v>
      </c>
      <c r="H74" s="269"/>
      <c r="I74" s="124"/>
      <c r="J74" s="124"/>
    </row>
    <row r="75" spans="1:10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26.883127398232606</v>
      </c>
      <c r="E75" s="168">
        <f>IF(B75&lt;=$F$15,(E$17*(VLOOKUP($H$2,Лист2!$A:$N,12,0)-(B75-1)*VLOOKUP($H$2,Лист2!$A:$N,13,0))),0)</f>
        <v>30.626850748957633</v>
      </c>
      <c r="F75" s="169">
        <f>ROUND((E$17-SUM(D$29:D74))*F$9*30/365,2)</f>
        <v>0.68</v>
      </c>
      <c r="G75" s="269">
        <f t="shared" si="1"/>
        <v>58.189978147190239</v>
      </c>
      <c r="H75" s="269"/>
      <c r="I75" s="124"/>
      <c r="J75" s="124"/>
    </row>
    <row r="76" spans="1:10" x14ac:dyDescent="0.25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27.334377398232604</v>
      </c>
      <c r="E76" s="168">
        <f>IF(B76&lt;=$F$15,(E$17*(VLOOKUP($H$2,Лист2!$A:$N,12,0)-(B76-1)*VLOOKUP($H$2,Лист2!$A:$N,13,0))),0)</f>
        <v>30.215600748957634</v>
      </c>
      <c r="F76" s="169">
        <f>ROUND((E$17-SUM(D$29:D75))*F$9*30/365,2)</f>
        <v>0.64</v>
      </c>
      <c r="G76" s="269">
        <f t="shared" si="1"/>
        <v>58.189978147190239</v>
      </c>
      <c r="H76" s="269"/>
      <c r="I76" s="124"/>
      <c r="J76" s="124"/>
    </row>
    <row r="77" spans="1:10" x14ac:dyDescent="0.25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27.795627398232604</v>
      </c>
      <c r="E77" s="168">
        <f>IF(B77&lt;=$F$15,(E$17*(VLOOKUP($H$2,Лист2!$A:$N,12,0)-(B77-1)*VLOOKUP($H$2,Лист2!$A:$N,13,0))),0)</f>
        <v>29.804350748957635</v>
      </c>
      <c r="F77" s="169">
        <f>ROUND((E$17-SUM(D$29:D76))*F$9*30/365,2)</f>
        <v>0.59</v>
      </c>
      <c r="G77" s="269">
        <f t="shared" si="1"/>
        <v>58.189978147190246</v>
      </c>
      <c r="H77" s="269"/>
      <c r="I77" s="124"/>
      <c r="J77" s="124"/>
    </row>
    <row r="78" spans="1:10" x14ac:dyDescent="0.25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28.246877398232602</v>
      </c>
      <c r="E78" s="168">
        <f>IF(B78&lt;=$F$15,(E$17*(VLOOKUP($H$2,Лист2!$A:$N,12,0)-(B78-1)*VLOOKUP($H$2,Лист2!$A:$N,13,0))),0)</f>
        <v>29.393100748957636</v>
      </c>
      <c r="F78" s="169">
        <f>ROUND((E$17-SUM(D$29:D77))*F$9*30/365,2)</f>
        <v>0.55000000000000004</v>
      </c>
      <c r="G78" s="269">
        <f t="shared" si="1"/>
        <v>58.189978147190232</v>
      </c>
      <c r="H78" s="269"/>
      <c r="I78" s="124"/>
      <c r="J78" s="124"/>
    </row>
    <row r="79" spans="1:10" x14ac:dyDescent="0.25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28.708127398232602</v>
      </c>
      <c r="E79" s="168">
        <f>IF(B79&lt;=$F$15,(E$17*(VLOOKUP($H$2,Лист2!$A:$N,12,0)-(B79-1)*VLOOKUP($H$2,Лист2!$A:$N,13,0))),0)</f>
        <v>28.981850748957637</v>
      </c>
      <c r="F79" s="169">
        <f>ROUND((E$17-SUM(D$29:D78))*F$9*30/365,2)</f>
        <v>0.5</v>
      </c>
      <c r="G79" s="269">
        <f t="shared" si="1"/>
        <v>58.189978147190239</v>
      </c>
      <c r="H79" s="269"/>
      <c r="I79" s="124"/>
      <c r="J79" s="124"/>
    </row>
    <row r="80" spans="1:10" x14ac:dyDescent="0.25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29.159377398232607</v>
      </c>
      <c r="E80" s="168">
        <f>IF(B80&lt;=$F$15,(E$17*(VLOOKUP($H$2,Лист2!$A:$N,12,0)-(B80-1)*VLOOKUP($H$2,Лист2!$A:$N,13,0))),0)</f>
        <v>28.570600748957631</v>
      </c>
      <c r="F80" s="169">
        <f>ROUND((E$17-SUM(D$29:D79))*F$9*30/365,2)</f>
        <v>0.46</v>
      </c>
      <c r="G80" s="269">
        <f t="shared" si="1"/>
        <v>58.189978147190239</v>
      </c>
      <c r="H80" s="269"/>
      <c r="I80" s="124"/>
      <c r="J80" s="124"/>
    </row>
    <row r="81" spans="1:10" x14ac:dyDescent="0.25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29.620627398232607</v>
      </c>
      <c r="E81" s="168">
        <f>IF(B81&lt;=$F$15,(E$17*(VLOOKUP($H$2,Лист2!$A:$N,12,0)-(B81-1)*VLOOKUP($H$2,Лист2!$A:$N,13,0))),0)</f>
        <v>28.159350748957632</v>
      </c>
      <c r="F81" s="169">
        <f>ROUND((E$17-SUM(D$29:D80))*F$9*30/365,2)</f>
        <v>0.41</v>
      </c>
      <c r="G81" s="269">
        <f t="shared" si="1"/>
        <v>58.189978147190232</v>
      </c>
      <c r="H81" s="269"/>
      <c r="I81" s="124"/>
      <c r="J81" s="124"/>
    </row>
    <row r="82" spans="1:10" x14ac:dyDescent="0.25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30.081877398232606</v>
      </c>
      <c r="E82" s="168">
        <f>IF(B82&lt;=$F$15,(E$17*(VLOOKUP($H$2,Лист2!$A:$N,12,0)-(B82-1)*VLOOKUP($H$2,Лист2!$A:$N,13,0))),0)</f>
        <v>27.748100748957633</v>
      </c>
      <c r="F82" s="169">
        <f>ROUND((E$17-SUM(D$29:D81))*F$9*30/365,2)</f>
        <v>0.36</v>
      </c>
      <c r="G82" s="269">
        <f t="shared" si="1"/>
        <v>58.189978147190239</v>
      </c>
      <c r="H82" s="269"/>
      <c r="I82" s="124"/>
      <c r="J82" s="124"/>
    </row>
    <row r="83" spans="1:10" x14ac:dyDescent="0.25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30.543127398232606</v>
      </c>
      <c r="E83" s="168">
        <f>IF(B83&lt;=$F$15,(E$17*(VLOOKUP($H$2,Лист2!$A:$N,12,0)-(B83-1)*VLOOKUP($H$2,Лист2!$A:$N,13,0))),0)</f>
        <v>27.336850748957634</v>
      </c>
      <c r="F83" s="169">
        <f>ROUND((E$17-SUM(D$29:D82))*F$9*30/365,2)</f>
        <v>0.31</v>
      </c>
      <c r="G83" s="269">
        <f t="shared" si="1"/>
        <v>58.189978147190246</v>
      </c>
      <c r="H83" s="269"/>
      <c r="I83" s="124"/>
      <c r="J83" s="124"/>
    </row>
    <row r="84" spans="1:10" x14ac:dyDescent="0.25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31.004377398232602</v>
      </c>
      <c r="E84" s="168">
        <f>IF(B84&lt;=$F$15,(E$17*(VLOOKUP($H$2,Лист2!$A:$N,12,0)-(B84-1)*VLOOKUP($H$2,Лист2!$A:$N,13,0))),0)</f>
        <v>26.925600748957635</v>
      </c>
      <c r="F84" s="169">
        <f>ROUND((E$17-SUM(D$29:D83))*F$9*30/365,2)</f>
        <v>0.26</v>
      </c>
      <c r="G84" s="269">
        <f t="shared" si="1"/>
        <v>58.189978147190239</v>
      </c>
      <c r="H84" s="269"/>
      <c r="I84" s="124"/>
      <c r="J84" s="124"/>
    </row>
    <row r="85" spans="1:10" x14ac:dyDescent="0.25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31.465627398232606</v>
      </c>
      <c r="E85" s="168">
        <f>IF(B85&lt;=$F$15,(E$17*(VLOOKUP($H$2,Лист2!$A:$N,12,0)-(B85-1)*VLOOKUP($H$2,Лист2!$A:$N,13,0))),0)</f>
        <v>26.514350748957632</v>
      </c>
      <c r="F85" s="169">
        <f>ROUND((E$17-SUM(D$29:D84))*F$9*30/365,2)</f>
        <v>0.21</v>
      </c>
      <c r="G85" s="269">
        <f t="shared" si="1"/>
        <v>58.189978147190239</v>
      </c>
      <c r="H85" s="269"/>
      <c r="I85" s="124"/>
      <c r="J85" s="124"/>
    </row>
    <row r="86" spans="1:10" x14ac:dyDescent="0.25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31.926877398232602</v>
      </c>
      <c r="E86" s="168">
        <f>IF(B86&lt;=$F$15,(E$17*(VLOOKUP($H$2,Лист2!$A:$N,12,0)-(B86-1)*VLOOKUP($H$2,Лист2!$A:$N,13,0))),0)</f>
        <v>26.103100748957633</v>
      </c>
      <c r="F86" s="169">
        <f>ROUND((E$17-SUM(D$29:D85))*F$9*30/365,2)</f>
        <v>0.16</v>
      </c>
      <c r="G86" s="269">
        <f t="shared" si="1"/>
        <v>58.189978147190232</v>
      </c>
      <c r="H86" s="269"/>
      <c r="I86" s="124"/>
      <c r="J86" s="124"/>
    </row>
    <row r="87" spans="1:10" x14ac:dyDescent="0.25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32.388127398232605</v>
      </c>
      <c r="E87" s="168">
        <f>IF(B87&lt;=$F$15,(E$17*(VLOOKUP($H$2,Лист2!$A:$N,12,0)-(B87-1)*VLOOKUP($H$2,Лист2!$A:$N,13,0))),0)</f>
        <v>25.691850748957634</v>
      </c>
      <c r="F87" s="169">
        <f>ROUND((E$17-SUM(D$29:D86))*F$9*30/365,2)</f>
        <v>0.11</v>
      </c>
      <c r="G87" s="269">
        <f t="shared" si="1"/>
        <v>58.189978147190239</v>
      </c>
      <c r="H87" s="269"/>
      <c r="I87" s="124"/>
      <c r="J87" s="124"/>
    </row>
    <row r="88" spans="1:10" ht="13.8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32.819233504276326</v>
      </c>
      <c r="E88" s="171">
        <f>IF(B88&lt;=$F$15,(E$17*(VLOOKUP($H$2,Лист2!$A:$N,12,0)-(B88-1)*VLOOKUP($H$2,Лист2!$A:$N,13,0))),0)</f>
        <v>25.280600748957635</v>
      </c>
      <c r="F88" s="172">
        <f>ROUND((E$17-SUM(D$29:D87))*F$9*30/365,2)</f>
        <v>0.05</v>
      </c>
      <c r="G88" s="270">
        <f t="shared" si="1"/>
        <v>58.149834253233962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1175</v>
      </c>
      <c r="E89" s="174">
        <f>SUM(E29:E88)</f>
        <v>2244.7485449374576</v>
      </c>
      <c r="F89" s="174">
        <f>SUM(F29:F88)</f>
        <v>71.609999999999985</v>
      </c>
      <c r="G89" s="263">
        <f>SUM(G29:H88)</f>
        <v>3491.3585449374577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$K$32:$K$37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VLOOKUP('Для Вас Х'!H2,Лист2!A:N,14,FALSE)</f>
        <v>500</v>
      </c>
      <c r="F2" s="118">
        <f>VLOOKUP(H$2,Лист2!$A:$G,2,0)</f>
        <v>40062</v>
      </c>
      <c r="G2" s="135">
        <f ca="1">TODAY()</f>
        <v>44089</v>
      </c>
      <c r="H2" s="286" t="s">
        <v>106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40062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40062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40062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49997.376000000004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0.155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0.248</v>
      </c>
      <c r="G11" s="273"/>
      <c r="H11" s="273"/>
      <c r="I11" s="3"/>
      <c r="J11" s="53"/>
      <c r="K11" s="132"/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4.9000000000000002E-2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48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9935.3760000000002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49997.376000000004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3854.0406740828739</v>
      </c>
      <c r="G18" s="277"/>
      <c r="H18" s="278"/>
      <c r="I18" s="123"/>
      <c r="J18" s="54"/>
      <c r="K18" s="132" t="str">
        <f>Лист2!A10</f>
        <v>Термін, 36 міс. (ПУМБ)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str">
        <f>Лист2!A11</f>
        <v>Термін, 30 міс. (ПУМБ)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144932.03390053558</v>
      </c>
      <c r="G20" s="279"/>
      <c r="H20" s="279"/>
      <c r="I20" s="1"/>
      <c r="J20" s="55"/>
      <c r="K20" s="132" t="str">
        <f>Лист2!A12</f>
        <v>Термін, 24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Лист2!A13</f>
        <v>Термін, 18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184994.03390053558</v>
      </c>
      <c r="G22" s="273"/>
      <c r="H22" s="273"/>
      <c r="I22" s="1"/>
      <c r="J22" s="55"/>
      <c r="K22" s="132" t="str">
        <f>Лист2!A14</f>
        <v>Термін, 12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Лист2!A15</f>
        <v>Термін, 36 міс. (ПУМБ БК)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1.9739342451095583</v>
      </c>
      <c r="G24" s="159"/>
      <c r="H24" s="22"/>
      <c r="I24" s="1"/>
      <c r="J24" s="1"/>
      <c r="K24" s="132" t="str">
        <f>Лист2!A16</f>
        <v>Термін, 30 міс. (ПУМБ БК)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K25" s="132" t="str">
        <f>Лист2!A17</f>
        <v>Термін, 24 міс. (ПУМБ БК)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str">
        <f>Лист2!A18</f>
        <v>Термін, 18 міс. (ПУМБ БК)</v>
      </c>
    </row>
    <row r="27" spans="1:29" ht="31.2" customHeight="1" thickBot="1" x14ac:dyDescent="0.3">
      <c r="A27" s="1"/>
      <c r="B27" s="178" t="s">
        <v>39</v>
      </c>
      <c r="C27" s="178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str">
        <f>Лист2!A19</f>
        <v>Термін, 12 міс. (ПУМБ БК)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-40062</v>
      </c>
      <c r="H28" s="272"/>
      <c r="I28" s="3"/>
      <c r="K28" s="132" t="str">
        <f>Лист2!A20</f>
        <v>Термін, 36 міс. (СФ)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234.70967482171795</v>
      </c>
      <c r="E29" s="166">
        <f>IF(B29&lt;=$F$15,(E$17*(VLOOKUP($H$2,Лист2!$A:$N,12,0)-(B29-1)*VLOOKUP($H$2,Лист2!$A:$N,13,0))),0)</f>
        <v>2982.3809992611559</v>
      </c>
      <c r="F29" s="166">
        <f>ROUND(E$17*F$9*30/365,2)</f>
        <v>636.95000000000005</v>
      </c>
      <c r="G29" s="269">
        <f>SUM(D29:F29)</f>
        <v>3854.0406740828739</v>
      </c>
      <c r="H29" s="269"/>
      <c r="I29" s="3"/>
      <c r="K29" s="132" t="str">
        <f>Лист2!A21</f>
        <v>Термін, 24 міс. (СФ)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262.69836282171809</v>
      </c>
      <c r="E30" s="168">
        <f>IF(B30&lt;=$F$15,(E$17*(VLOOKUP($H$2,Лист2!$A:$N,12,0)-(B30-1)*VLOOKUP($H$2,Лист2!$A:$N,13,0))),0)</f>
        <v>2957.3823112611558</v>
      </c>
      <c r="F30" s="169">
        <f>ROUND((E$17-SUM(D$29:D29))*F$9*30/365,2)</f>
        <v>633.96</v>
      </c>
      <c r="G30" s="269">
        <f t="shared" ref="G30:G88" si="1">SUM(D30:F30)</f>
        <v>3854.0406740828739</v>
      </c>
      <c r="H30" s="269"/>
      <c r="I30" s="3"/>
      <c r="K30" s="132" t="str">
        <f>Лист2!A22</f>
        <v>Термін, 18 міс. (СФ)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291.03705082171825</v>
      </c>
      <c r="E31" s="168">
        <f>IF(B31&lt;=$F$15,(E$17*(VLOOKUP($H$2,Лист2!$A:$N,12,0)-(B31-1)*VLOOKUP($H$2,Лист2!$A:$N,13,0))),0)</f>
        <v>2932.3836232611557</v>
      </c>
      <c r="F31" s="169">
        <f>ROUND((E$17-SUM(D$29:D30))*F$9*30/365,2)</f>
        <v>630.62</v>
      </c>
      <c r="G31" s="269">
        <f t="shared" si="1"/>
        <v>3854.0406740828739</v>
      </c>
      <c r="H31" s="269"/>
      <c r="I31" s="3"/>
      <c r="K31" s="132" t="str">
        <f>Лист2!A23</f>
        <v>Термін, 12 міс. (СФ)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319.74573882171842</v>
      </c>
      <c r="E32" s="168">
        <f>IF(B32&lt;=$F$15,(E$17*(VLOOKUP($H$2,Лист2!$A:$N,12,0)-(B32-1)*VLOOKUP($H$2,Лист2!$A:$N,13,0))),0)</f>
        <v>2907.3849352611555</v>
      </c>
      <c r="F32" s="169">
        <f>ROUND((E$17-SUM(D$29:D31))*F$9*30/365,2)</f>
        <v>626.91</v>
      </c>
      <c r="G32" s="269">
        <f t="shared" si="1"/>
        <v>3854.0406740828739</v>
      </c>
      <c r="H32" s="269"/>
      <c r="I32" s="3"/>
      <c r="K32" s="132" t="str">
        <f>Лист2!A24</f>
        <v>Консолідований Х, 60 міс.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348.82442682171802</v>
      </c>
      <c r="E33" s="168">
        <f>IF(B33&lt;=$F$15,(E$17*(VLOOKUP($H$2,Лист2!$A:$N,12,0)-(B33-1)*VLOOKUP($H$2,Лист2!$A:$N,13,0))),0)</f>
        <v>2882.3862472611559</v>
      </c>
      <c r="F33" s="169">
        <f>ROUND((E$17-SUM(D$29:D32))*F$9*30/365,2)</f>
        <v>622.83000000000004</v>
      </c>
      <c r="G33" s="269">
        <f t="shared" si="1"/>
        <v>3854.0406740828739</v>
      </c>
      <c r="H33" s="269"/>
      <c r="I33" s="3"/>
      <c r="K33" s="132" t="str">
        <f>Лист2!A25</f>
        <v>Консолідований Х, 48 міс.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378.2631148217182</v>
      </c>
      <c r="E34" s="168">
        <f>IF(B34&lt;=$F$15,(E$17*(VLOOKUP($H$2,Лист2!$A:$N,12,0)-(B34-1)*VLOOKUP($H$2,Лист2!$A:$N,13,0))),0)</f>
        <v>2857.3875592611557</v>
      </c>
      <c r="F34" s="169">
        <f>ROUND((E$17-SUM(D$29:D33))*F$9*30/365,2)</f>
        <v>618.39</v>
      </c>
      <c r="G34" s="269">
        <f t="shared" si="1"/>
        <v>3854.0406740828739</v>
      </c>
      <c r="H34" s="269"/>
      <c r="I34" s="3"/>
      <c r="K34" s="132" t="str">
        <f>Лист2!A26</f>
        <v>Консолідований Х, 36 міс.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408.08180282171827</v>
      </c>
      <c r="E35" s="168">
        <f>IF(B35&lt;=$F$15,(E$17*(VLOOKUP($H$2,Лист2!$A:$N,12,0)-(B35-1)*VLOOKUP($H$2,Лист2!$A:$N,13,0))),0)</f>
        <v>2832.3888712611556</v>
      </c>
      <c r="F35" s="169">
        <f>ROUND((E$17-SUM(D$29:D34))*F$9*30/365,2)</f>
        <v>613.57000000000005</v>
      </c>
      <c r="G35" s="269">
        <f t="shared" si="1"/>
        <v>3854.0406740828739</v>
      </c>
      <c r="H35" s="269"/>
      <c r="I35" s="3"/>
      <c r="K35" s="132" t="str">
        <f>Лист2!A27</f>
        <v>Консолідований Х, 24 міс.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438.28049082171844</v>
      </c>
      <c r="E36" s="168">
        <f>IF(B36&lt;=$F$15,(E$17*(VLOOKUP($H$2,Лист2!$A:$N,12,0)-(B36-1)*VLOOKUP($H$2,Лист2!$A:$N,13,0))),0)</f>
        <v>2807.3901832611555</v>
      </c>
      <c r="F36" s="169">
        <f>ROUND((E$17-SUM(D$29:D35))*F$9*30/365,2)</f>
        <v>608.37</v>
      </c>
      <c r="G36" s="269">
        <f t="shared" si="1"/>
        <v>3854.0406740828739</v>
      </c>
      <c r="H36" s="269"/>
      <c r="I36" s="3"/>
      <c r="K36" s="132" t="str">
        <f>Лист2!A28</f>
        <v>Консолідований Х, 18 міс.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468.85917882171816</v>
      </c>
      <c r="E37" s="168">
        <f>IF(B37&lt;=$F$15,(E$17*(VLOOKUP($H$2,Лист2!$A:$N,12,0)-(B37-1)*VLOOKUP($H$2,Лист2!$A:$N,13,0))),0)</f>
        <v>2782.3914952611558</v>
      </c>
      <c r="F37" s="169">
        <f>ROUND((E$17-SUM(D$29:D36))*F$9*30/365,2)</f>
        <v>602.79</v>
      </c>
      <c r="G37" s="269">
        <f t="shared" si="1"/>
        <v>3854.0406740828739</v>
      </c>
      <c r="H37" s="269"/>
      <c r="I37" s="3"/>
      <c r="K37" s="132" t="str">
        <f>Лист2!A29</f>
        <v>Консолідований Х, 12 міс.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499.8278668217182</v>
      </c>
      <c r="E38" s="168">
        <f>IF(B38&lt;=$F$15,(E$17*(VLOOKUP($H$2,Лист2!$A:$N,12,0)-(B38-1)*VLOOKUP($H$2,Лист2!$A:$N,13,0))),0)</f>
        <v>2757.3928072611557</v>
      </c>
      <c r="F38" s="169">
        <f>ROUND((E$17-SUM(D$29:D37))*F$9*30/365,2)</f>
        <v>596.82000000000005</v>
      </c>
      <c r="G38" s="269">
        <f t="shared" si="1"/>
        <v>3854.0406740828739</v>
      </c>
      <c r="H38" s="269"/>
      <c r="I38" s="3"/>
      <c r="K38" s="132" t="str">
        <f>Лист2!A30</f>
        <v>Для ВАС Х, 48 міс.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531.19655482171788</v>
      </c>
      <c r="E39" s="168">
        <f>IF(B39&lt;=$F$15,(E$17*(VLOOKUP($H$2,Лист2!$A:$N,12,0)-(B39-1)*VLOOKUP($H$2,Лист2!$A:$N,13,0))),0)</f>
        <v>2732.394119261156</v>
      </c>
      <c r="F39" s="169">
        <f>ROUND((E$17-SUM(D$29:D38))*F$9*30/365,2)</f>
        <v>590.45000000000005</v>
      </c>
      <c r="G39" s="269">
        <f t="shared" si="1"/>
        <v>3854.0406740828739</v>
      </c>
      <c r="H39" s="269"/>
      <c r="I39" s="3"/>
      <c r="K39" s="132" t="str">
        <f>Лист2!A31</f>
        <v>Для ВАС Х, 36 міс.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562.96524282171811</v>
      </c>
      <c r="E40" s="168">
        <f>IF(B40&lt;=$F$15,(E$17*(VLOOKUP($H$2,Лист2!$A:$N,12,0)-(B40-1)*VLOOKUP($H$2,Лист2!$A:$N,13,0))),0)</f>
        <v>2707.3954312611559</v>
      </c>
      <c r="F40" s="169">
        <f>ROUND((E$17-SUM(D$29:D39))*F$9*30/365,2)</f>
        <v>583.67999999999995</v>
      </c>
      <c r="G40" s="269">
        <f t="shared" si="1"/>
        <v>3854.0406740828739</v>
      </c>
      <c r="H40" s="269"/>
      <c r="I40" s="3"/>
      <c r="K40" s="132" t="str">
        <f>Лист2!A32</f>
        <v>Для ВАС Х, 30 міс.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595.1339308217182</v>
      </c>
      <c r="E41" s="168">
        <f>IF(B41&lt;=$F$15,(E$17*(VLOOKUP($H$2,Лист2!$A:$N,12,0)-(B41-1)*VLOOKUP($H$2,Лист2!$A:$N,13,0))),0)</f>
        <v>2682.3967432611557</v>
      </c>
      <c r="F41" s="169">
        <f>ROUND((E$17-SUM(D$29:D40))*F$9*30/365,2)</f>
        <v>576.51</v>
      </c>
      <c r="G41" s="269">
        <f t="shared" si="1"/>
        <v>3854.0406740828739</v>
      </c>
      <c r="H41" s="269"/>
      <c r="I41" s="3"/>
      <c r="K41" s="132" t="str">
        <f>Лист2!A33</f>
        <v>Для ВАС Х, 24 міс.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627.71261882171837</v>
      </c>
      <c r="E42" s="168">
        <f>IF(B42&lt;=$F$15,(E$17*(VLOOKUP($H$2,Лист2!$A:$N,12,0)-(B42-1)*VLOOKUP($H$2,Лист2!$A:$N,13,0))),0)</f>
        <v>2657.3980552611556</v>
      </c>
      <c r="F42" s="169">
        <f>ROUND((E$17-SUM(D$29:D41))*F$9*30/365,2)</f>
        <v>568.92999999999995</v>
      </c>
      <c r="G42" s="269">
        <f t="shared" si="1"/>
        <v>3854.0406740828739</v>
      </c>
      <c r="H42" s="269"/>
      <c r="I42" s="3"/>
      <c r="K42" s="132" t="str">
        <f>Лист2!A34</f>
        <v>Для ВАС Х, 18 міс.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660.71130682171804</v>
      </c>
      <c r="E43" s="168">
        <f>IF(B43&lt;=$F$15,(E$17*(VLOOKUP($H$2,Лист2!$A:$N,12,0)-(B43-1)*VLOOKUP($H$2,Лист2!$A:$N,13,0))),0)</f>
        <v>2632.3993672611559</v>
      </c>
      <c r="F43" s="169">
        <f>ROUND((E$17-SUM(D$29:D42))*F$9*30/365,2)</f>
        <v>560.92999999999995</v>
      </c>
      <c r="G43" s="269">
        <f t="shared" si="1"/>
        <v>3854.0406740828739</v>
      </c>
      <c r="H43" s="269"/>
      <c r="I43" s="3"/>
      <c r="K43" s="132" t="str">
        <f>Лист2!A35</f>
        <v>Для ВАС Х, 12 міс.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694.12999482171813</v>
      </c>
      <c r="E44" s="168">
        <f>IF(B44&lt;=$F$15,(E$17*(VLOOKUP($H$2,Лист2!$A:$N,12,0)-(B44-1)*VLOOKUP($H$2,Лист2!$A:$N,13,0))),0)</f>
        <v>2607.4006792611558</v>
      </c>
      <c r="F44" s="169">
        <f>ROUND((E$17-SUM(D$29:D43))*F$9*30/365,2)</f>
        <v>552.51</v>
      </c>
      <c r="G44" s="269">
        <f t="shared" si="1"/>
        <v>3854.0406740828739</v>
      </c>
      <c r="H44" s="269"/>
      <c r="I44" s="3"/>
      <c r="K44" s="132" t="str">
        <f>Лист2!A36</f>
        <v>Бюджетний Х, 48 міс.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727.96868282171829</v>
      </c>
      <c r="E45" s="168">
        <f>IF(B45&lt;=$F$15,(E$17*(VLOOKUP($H$2,Лист2!$A:$N,12,0)-(B45-1)*VLOOKUP($H$2,Лист2!$A:$N,13,0))),0)</f>
        <v>2582.4019912611557</v>
      </c>
      <c r="F45" s="169">
        <f>ROUND((E$17-SUM(D$29:D44))*F$9*30/365,2)</f>
        <v>543.66999999999996</v>
      </c>
      <c r="G45" s="269">
        <f t="shared" si="1"/>
        <v>3854.0406740828739</v>
      </c>
      <c r="H45" s="269"/>
      <c r="I45" s="3"/>
      <c r="K45" s="132" t="str">
        <f>Лист2!A37</f>
        <v>Бюджетний Х, 36 міс.</v>
      </c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762.2373708217184</v>
      </c>
      <c r="E46" s="168">
        <f>IF(B46&lt;=$F$15,(E$17*(VLOOKUP($H$2,Лист2!$A:$N,12,0)-(B46-1)*VLOOKUP($H$2,Лист2!$A:$N,13,0))),0)</f>
        <v>2557.4033032611555</v>
      </c>
      <c r="F46" s="169">
        <f>ROUND((E$17-SUM(D$29:D45))*F$9*30/365,2)</f>
        <v>534.4</v>
      </c>
      <c r="G46" s="269">
        <f t="shared" si="1"/>
        <v>3854.0406740828739</v>
      </c>
      <c r="H46" s="269"/>
      <c r="I46" s="3"/>
      <c r="K46" s="132" t="str">
        <f>Лист2!A38</f>
        <v>Бюджетний Х, 30 міс.</v>
      </c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796.946058821718</v>
      </c>
      <c r="E47" s="168">
        <f>IF(B47&lt;=$F$15,(E$17*(VLOOKUP($H$2,Лист2!$A:$N,12,0)-(B47-1)*VLOOKUP($H$2,Лист2!$A:$N,13,0))),0)</f>
        <v>2532.4046152611559</v>
      </c>
      <c r="F47" s="169">
        <f>ROUND((E$17-SUM(D$29:D46))*F$9*30/365,2)</f>
        <v>524.69000000000005</v>
      </c>
      <c r="G47" s="269">
        <f t="shared" si="1"/>
        <v>3854.0406740828739</v>
      </c>
      <c r="H47" s="269"/>
      <c r="I47" s="3"/>
      <c r="K47" s="132" t="str">
        <f>Лист2!A39</f>
        <v>Бюджетний Х, 24 міс.</v>
      </c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832.10474682171821</v>
      </c>
      <c r="E48" s="168">
        <f>IF(B48&lt;=$F$15,(E$17*(VLOOKUP($H$2,Лист2!$A:$N,12,0)-(B48-1)*VLOOKUP($H$2,Лист2!$A:$N,13,0))),0)</f>
        <v>2507.4059272611557</v>
      </c>
      <c r="F48" s="169">
        <f>ROUND((E$17-SUM(D$29:D47))*F$9*30/365,2)</f>
        <v>514.53</v>
      </c>
      <c r="G48" s="269">
        <f t="shared" si="1"/>
        <v>3854.0406740828739</v>
      </c>
      <c r="H48" s="269"/>
      <c r="I48" s="3"/>
      <c r="K48" s="132" t="str">
        <f>Лист2!A40</f>
        <v>Бюджетний Х, 18 міс.</v>
      </c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867.70343482171825</v>
      </c>
      <c r="E49" s="168">
        <f>IF(B49&lt;=$F$15,(E$17*(VLOOKUP($H$2,Лист2!$A:$N,12,0)-(B49-1)*VLOOKUP($H$2,Лист2!$A:$N,13,0))),0)</f>
        <v>2482.4072392611556</v>
      </c>
      <c r="F49" s="169">
        <f>ROUND((E$17-SUM(D$29:D48))*F$9*30/365,2)</f>
        <v>503.93</v>
      </c>
      <c r="G49" s="269">
        <f t="shared" si="1"/>
        <v>3854.0406740828735</v>
      </c>
      <c r="H49" s="269"/>
      <c r="I49" s="3"/>
      <c r="K49" s="132" t="str">
        <f>Лист2!A41</f>
        <v>Бюджетний Х, 12 міс.</v>
      </c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903.75212282171844</v>
      </c>
      <c r="E50" s="168">
        <f>IF(B50&lt;=$F$15,(E$17*(VLOOKUP($H$2,Лист2!$A:$N,12,0)-(B50-1)*VLOOKUP($H$2,Лист2!$A:$N,13,0))),0)</f>
        <v>2457.4085512611555</v>
      </c>
      <c r="F50" s="169">
        <f>ROUND((E$17-SUM(D$29:D49))*F$9*30/365,2)</f>
        <v>492.88</v>
      </c>
      <c r="G50" s="269">
        <f t="shared" si="1"/>
        <v>3854.0406740828739</v>
      </c>
      <c r="H50" s="269"/>
      <c r="I50" s="3"/>
      <c r="K50" s="132" t="str">
        <f>Лист2!A42</f>
        <v>Пенсійний Х, 30 міс.</v>
      </c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940.2708108217181</v>
      </c>
      <c r="E51" s="168">
        <f>IF(B51&lt;=$F$15,(E$17*(VLOOKUP($H$2,Лист2!$A:$N,12,0)-(B51-1)*VLOOKUP($H$2,Лист2!$A:$N,13,0))),0)</f>
        <v>2432.4098632611558</v>
      </c>
      <c r="F51" s="169">
        <f>ROUND((E$17-SUM(D$29:D50))*F$9*30/365,2)</f>
        <v>481.36</v>
      </c>
      <c r="G51" s="269">
        <f t="shared" si="1"/>
        <v>3854.0406740828739</v>
      </c>
      <c r="H51" s="269"/>
      <c r="I51" s="3"/>
      <c r="K51" s="132" t="str">
        <f>Лист2!A43</f>
        <v>Пенсійний Х, 24 міс.</v>
      </c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977.2394988217178</v>
      </c>
      <c r="E52" s="168">
        <f>IF(B52&lt;=$F$15,(E$17*(VLOOKUP($H$2,Лист2!$A:$N,12,0)-(B52-1)*VLOOKUP($H$2,Лист2!$A:$N,13,0))),0)</f>
        <v>2407.4111752611561</v>
      </c>
      <c r="F52" s="169">
        <f>ROUND((E$17-SUM(D$29:D51))*F$9*30/365,2)</f>
        <v>469.39</v>
      </c>
      <c r="G52" s="269">
        <f t="shared" si="1"/>
        <v>3854.0406740828739</v>
      </c>
      <c r="H52" s="269"/>
      <c r="I52" s="3"/>
      <c r="K52" s="132" t="str">
        <f>Лист2!A44</f>
        <v>Пенсійний Х, 18 міс.</v>
      </c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1014.6881868217179</v>
      </c>
      <c r="E53" s="168">
        <f>IF(B53&lt;=$F$15,(E$17*(VLOOKUP($H$2,Лист2!$A:$N,12,0)-(B53-1)*VLOOKUP($H$2,Лист2!$A:$N,13,0))),0)</f>
        <v>2382.412487261156</v>
      </c>
      <c r="F53" s="169">
        <f>ROUND((E$17-SUM(D$29:D52))*F$9*30/365,2)</f>
        <v>456.94</v>
      </c>
      <c r="G53" s="269">
        <f t="shared" si="1"/>
        <v>3854.0406740828739</v>
      </c>
      <c r="H53" s="269"/>
      <c r="I53" s="3"/>
      <c r="K53" s="132" t="str">
        <f>Лист2!A45</f>
        <v>Пенсійний Х, 12 міс.</v>
      </c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1052.6168748217181</v>
      </c>
      <c r="E54" s="168">
        <f>IF(B54&lt;=$F$15,(E$17*(VLOOKUP($H$2,Лист2!$A:$N,12,0)-(B54-1)*VLOOKUP($H$2,Лист2!$A:$N,13,0))),0)</f>
        <v>2357.4137992611559</v>
      </c>
      <c r="F54" s="169">
        <f>ROUND((E$17-SUM(D$29:D53))*F$9*30/365,2)</f>
        <v>444.01</v>
      </c>
      <c r="G54" s="269">
        <f t="shared" si="1"/>
        <v>3854.0406740828739</v>
      </c>
      <c r="H54" s="269"/>
      <c r="I54" s="3"/>
      <c r="K54" s="132" t="str">
        <f>Лист2!A46</f>
        <v>BIG CASH (ОТП), 48 міс.</v>
      </c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1091.0255628217183</v>
      </c>
      <c r="E55" s="168">
        <f>IF(B55&lt;=$F$15,(E$17*(VLOOKUP($H$2,Лист2!$A:$N,12,0)-(B55-1)*VLOOKUP($H$2,Лист2!$A:$N,13,0))),0)</f>
        <v>2332.4151112611557</v>
      </c>
      <c r="F55" s="169">
        <f>ROUND((E$17-SUM(D$29:D54))*F$9*30/365,2)</f>
        <v>430.6</v>
      </c>
      <c r="G55" s="269">
        <f t="shared" si="1"/>
        <v>3854.0406740828739</v>
      </c>
      <c r="H55" s="269"/>
      <c r="I55" s="3"/>
      <c r="K55" s="132" t="str">
        <f>Лист2!A47</f>
        <v>BIG CASH (ОТП), 36 міс.</v>
      </c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1129.9242508217183</v>
      </c>
      <c r="E56" s="168">
        <f>IF(B56&lt;=$F$15,(E$17*(VLOOKUP($H$2,Лист2!$A:$N,12,0)-(B56-1)*VLOOKUP($H$2,Лист2!$A:$N,13,0))),0)</f>
        <v>2307.4164232611556</v>
      </c>
      <c r="F56" s="169">
        <f>ROUND((E$17-SUM(D$29:D55))*F$9*30/365,2)</f>
        <v>416.7</v>
      </c>
      <c r="G56" s="269">
        <f t="shared" si="1"/>
        <v>3854.0406740828739</v>
      </c>
      <c r="H56" s="269"/>
      <c r="I56" s="3"/>
      <c r="K56" s="132" t="str">
        <f>Лист2!A48</f>
        <v>BIG CASH (ОТП), 30 міс.</v>
      </c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1169.322938821718</v>
      </c>
      <c r="E57" s="168">
        <f>IF(B57&lt;=$F$15,(E$17*(VLOOKUP($H$2,Лист2!$A:$N,12,0)-(B57-1)*VLOOKUP($H$2,Лист2!$A:$N,13,0))),0)</f>
        <v>2282.4177352611559</v>
      </c>
      <c r="F57" s="169">
        <f>ROUND((E$17-SUM(D$29:D56))*F$9*30/365,2)</f>
        <v>402.3</v>
      </c>
      <c r="G57" s="269">
        <f t="shared" si="1"/>
        <v>3854.0406740828739</v>
      </c>
      <c r="H57" s="269"/>
      <c r="I57" s="3"/>
      <c r="K57" s="132" t="str">
        <f>Лист2!A49</f>
        <v>BIG CASH (ОТП), 24 міс.</v>
      </c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1209.211626821718</v>
      </c>
      <c r="E58" s="168">
        <f>IF(B58&lt;=$F$15,(E$17*(VLOOKUP($H$2,Лист2!$A:$N,12,0)-(B58-1)*VLOOKUP($H$2,Лист2!$A:$N,13,0))),0)</f>
        <v>2257.4190472611558</v>
      </c>
      <c r="F58" s="169">
        <f>ROUND((E$17-SUM(D$29:D57))*F$9*30/365,2)</f>
        <v>387.41</v>
      </c>
      <c r="G58" s="269">
        <f t="shared" si="1"/>
        <v>3854.0406740828739</v>
      </c>
      <c r="H58" s="269"/>
      <c r="I58" s="124"/>
      <c r="J58" s="124"/>
      <c r="K58" s="132" t="str">
        <f>Лист2!A50</f>
        <v>BIG CASH (ОТП), 18 міс.</v>
      </c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1249.6203148217182</v>
      </c>
      <c r="E59" s="168">
        <f>IF(B59&lt;=$F$15,(E$17*(VLOOKUP($H$2,Лист2!$A:$N,12,0)-(B59-1)*VLOOKUP($H$2,Лист2!$A:$N,13,0))),0)</f>
        <v>2232.4203592611557</v>
      </c>
      <c r="F59" s="169">
        <f>ROUND((E$17-SUM(D$29:D58))*F$9*30/365,2)</f>
        <v>372</v>
      </c>
      <c r="G59" s="269">
        <f t="shared" si="1"/>
        <v>3854.0406740828739</v>
      </c>
      <c r="H59" s="269"/>
      <c r="I59" s="124"/>
      <c r="J59" s="124"/>
      <c r="K59" s="132" t="str">
        <f>Лист2!A51</f>
        <v>BIG CASH (ОТП), 12 міс.</v>
      </c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1290.5390028217184</v>
      </c>
      <c r="E60" s="168">
        <f>IF(B60&lt;=$F$15,(E$17*(VLOOKUP($H$2,Лист2!$A:$N,12,0)-(B60-1)*VLOOKUP($H$2,Лист2!$A:$N,13,0))),0)</f>
        <v>2207.4216712611556</v>
      </c>
      <c r="F60" s="169">
        <f>ROUND((E$17-SUM(D$29:D59))*F$9*30/365,2)</f>
        <v>356.08</v>
      </c>
      <c r="G60" s="269">
        <f t="shared" si="1"/>
        <v>3854.0406740828739</v>
      </c>
      <c r="H60" s="269"/>
      <c r="I60" s="124"/>
      <c r="J60" s="124"/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1331.9776908217182</v>
      </c>
      <c r="E61" s="168">
        <f>IF(B61&lt;=$F$15,(E$17*(VLOOKUP($H$2,Лист2!$A:$N,12,0)-(B61-1)*VLOOKUP($H$2,Лист2!$A:$N,13,0))),0)</f>
        <v>2182.4229832611559</v>
      </c>
      <c r="F61" s="169">
        <f>ROUND((E$17-SUM(D$29:D60))*F$9*30/365,2)</f>
        <v>339.64</v>
      </c>
      <c r="G61" s="269">
        <f t="shared" si="1"/>
        <v>3854.0406740828739</v>
      </c>
      <c r="H61" s="269"/>
      <c r="I61" s="124"/>
      <c r="J61" s="124"/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1373.9463788217181</v>
      </c>
      <c r="E62" s="168">
        <f>IF(B62&lt;=$F$15,(E$17*(VLOOKUP($H$2,Лист2!$A:$N,12,0)-(B62-1)*VLOOKUP($H$2,Лист2!$A:$N,13,0))),0)</f>
        <v>2157.4242952611557</v>
      </c>
      <c r="F62" s="169">
        <f>ROUND((E$17-SUM(D$29:D61))*F$9*30/365,2)</f>
        <v>322.67</v>
      </c>
      <c r="G62" s="269">
        <f t="shared" si="1"/>
        <v>3854.0406740828739</v>
      </c>
      <c r="H62" s="269"/>
      <c r="I62" s="124"/>
      <c r="J62" s="124"/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1416.4450668217182</v>
      </c>
      <c r="E63" s="168">
        <f>IF(B63&lt;=$F$15,(E$17*(VLOOKUP($H$2,Лист2!$A:$N,12,0)-(B63-1)*VLOOKUP($H$2,Лист2!$A:$N,13,0))),0)</f>
        <v>2132.4256072611556</v>
      </c>
      <c r="F63" s="169">
        <f>ROUND((E$17-SUM(D$29:D62))*F$9*30/365,2)</f>
        <v>305.17</v>
      </c>
      <c r="G63" s="269">
        <f t="shared" si="1"/>
        <v>3854.0406740828739</v>
      </c>
      <c r="H63" s="269"/>
      <c r="I63" s="124"/>
      <c r="J63" s="124"/>
    </row>
    <row r="64" spans="1:11" x14ac:dyDescent="0.25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1459.4937548217185</v>
      </c>
      <c r="E64" s="168">
        <f>IF(B64&lt;=$F$15,(E$17*(VLOOKUP($H$2,Лист2!$A:$N,12,0)-(B64-1)*VLOOKUP($H$2,Лист2!$A:$N,13,0))),0)</f>
        <v>2107.4269192611555</v>
      </c>
      <c r="F64" s="169">
        <f>ROUND((E$17-SUM(D$29:D63))*F$9*30/365,2)</f>
        <v>287.12</v>
      </c>
      <c r="G64" s="269">
        <f t="shared" si="1"/>
        <v>3854.0406740828739</v>
      </c>
      <c r="H64" s="269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1503.0824428217181</v>
      </c>
      <c r="E65" s="168">
        <f>IF(B65&lt;=$F$15,(E$17*(VLOOKUP($H$2,Лист2!$A:$N,12,0)-(B65-1)*VLOOKUP($H$2,Лист2!$A:$N,13,0))),0)</f>
        <v>2082.4282312611558</v>
      </c>
      <c r="F65" s="169">
        <f>ROUND((E$17-SUM(D$29:D64))*F$9*30/365,2)</f>
        <v>268.52999999999997</v>
      </c>
      <c r="G65" s="269">
        <f t="shared" si="1"/>
        <v>3854.0406740828739</v>
      </c>
      <c r="H65" s="269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1547.2311308217181</v>
      </c>
      <c r="E66" s="168">
        <f>IF(B66&lt;=$F$15,(E$17*(VLOOKUP($H$2,Лист2!$A:$N,12,0)-(B66-1)*VLOOKUP($H$2,Лист2!$A:$N,13,0))),0)</f>
        <v>2057.4295432611557</v>
      </c>
      <c r="F66" s="169">
        <f>ROUND((E$17-SUM(D$29:D65))*F$9*30/365,2)</f>
        <v>249.38</v>
      </c>
      <c r="G66" s="269">
        <f t="shared" si="1"/>
        <v>3854.0406740828739</v>
      </c>
      <c r="H66" s="269"/>
      <c r="I66" s="124"/>
      <c r="J66" s="124"/>
    </row>
    <row r="67" spans="1:10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1591.9398188217183</v>
      </c>
      <c r="E67" s="168">
        <f>IF(B67&lt;=$F$15,(E$17*(VLOOKUP($H$2,Лист2!$A:$N,12,0)-(B67-1)*VLOOKUP($H$2,Лист2!$A:$N,13,0))),0)</f>
        <v>2032.4308552611556</v>
      </c>
      <c r="F67" s="169">
        <f>ROUND((E$17-SUM(D$29:D66))*F$9*30/365,2)</f>
        <v>229.67</v>
      </c>
      <c r="G67" s="269">
        <f t="shared" si="1"/>
        <v>3854.0406740828739</v>
      </c>
      <c r="H67" s="269"/>
      <c r="I67" s="124"/>
      <c r="J67" s="124"/>
    </row>
    <row r="68" spans="1:10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1637.2185068217182</v>
      </c>
      <c r="E68" s="168">
        <f>IF(B68&lt;=$F$15,(E$17*(VLOOKUP($H$2,Лист2!$A:$N,12,0)-(B68-1)*VLOOKUP($H$2,Лист2!$A:$N,13,0))),0)</f>
        <v>2007.4321672611557</v>
      </c>
      <c r="F68" s="169">
        <f>ROUND((E$17-SUM(D$29:D67))*F$9*30/365,2)</f>
        <v>209.39</v>
      </c>
      <c r="G68" s="269">
        <f t="shared" si="1"/>
        <v>3854.0406740828735</v>
      </c>
      <c r="H68" s="269"/>
      <c r="I68" s="124"/>
      <c r="J68" s="124"/>
    </row>
    <row r="69" spans="1:10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1683.0771948217184</v>
      </c>
      <c r="E69" s="168">
        <f>IF(B69&lt;=$F$15,(E$17*(VLOOKUP($H$2,Лист2!$A:$N,12,0)-(B69-1)*VLOOKUP($H$2,Лист2!$A:$N,13,0))),0)</f>
        <v>1982.4334792611555</v>
      </c>
      <c r="F69" s="169">
        <f>ROUND((E$17-SUM(D$29:D68))*F$9*30/365,2)</f>
        <v>188.53</v>
      </c>
      <c r="G69" s="269">
        <f t="shared" si="1"/>
        <v>3854.0406740828744</v>
      </c>
      <c r="H69" s="269"/>
      <c r="I69" s="124"/>
      <c r="J69" s="124"/>
    </row>
    <row r="70" spans="1:10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1729.5158828217186</v>
      </c>
      <c r="E70" s="168">
        <f>IF(B70&lt;=$F$15,(E$17*(VLOOKUP($H$2,Лист2!$A:$N,12,0)-(B70-1)*VLOOKUP($H$2,Лист2!$A:$N,13,0))),0)</f>
        <v>1957.4347912611554</v>
      </c>
      <c r="F70" s="169">
        <f>ROUND((E$17-SUM(D$29:D69))*F$9*30/365,2)</f>
        <v>167.09</v>
      </c>
      <c r="G70" s="269">
        <f t="shared" si="1"/>
        <v>3854.0406740828739</v>
      </c>
      <c r="H70" s="269"/>
      <c r="I70" s="124"/>
      <c r="J70" s="124"/>
    </row>
    <row r="71" spans="1:10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1776.5445708217185</v>
      </c>
      <c r="E71" s="168">
        <f>IF(B71&lt;=$F$15,(E$17*(VLOOKUP($H$2,Лист2!$A:$N,12,0)-(B71-1)*VLOOKUP($H$2,Лист2!$A:$N,13,0))),0)</f>
        <v>1932.4361032611555</v>
      </c>
      <c r="F71" s="169">
        <f>ROUND((E$17-SUM(D$29:D70))*F$9*30/365,2)</f>
        <v>145.06</v>
      </c>
      <c r="G71" s="269">
        <f t="shared" si="1"/>
        <v>3854.0406740828739</v>
      </c>
      <c r="H71" s="269"/>
      <c r="I71" s="124"/>
      <c r="J71" s="124"/>
    </row>
    <row r="72" spans="1:10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1824.1832588217185</v>
      </c>
      <c r="E72" s="168">
        <f>IF(B72&lt;=$F$15,(E$17*(VLOOKUP($H$2,Лист2!$A:$N,12,0)-(B72-1)*VLOOKUP($H$2,Лист2!$A:$N,13,0))),0)</f>
        <v>1907.4374152611554</v>
      </c>
      <c r="F72" s="169">
        <f>ROUND((E$17-SUM(D$29:D71))*F$9*30/365,2)</f>
        <v>122.42</v>
      </c>
      <c r="G72" s="269">
        <f t="shared" si="1"/>
        <v>3854.0406740828739</v>
      </c>
      <c r="H72" s="269"/>
      <c r="I72" s="124"/>
      <c r="J72" s="124"/>
    </row>
    <row r="73" spans="1:10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1872.4219468217182</v>
      </c>
      <c r="E73" s="168">
        <f>IF(B73&lt;=$F$15,(E$17*(VLOOKUP($H$2,Лист2!$A:$N,12,0)-(B73-1)*VLOOKUP($H$2,Лист2!$A:$N,13,0))),0)</f>
        <v>1882.4387272611557</v>
      </c>
      <c r="F73" s="169">
        <f>ROUND((E$17-SUM(D$29:D72))*F$9*30/365,2)</f>
        <v>99.18</v>
      </c>
      <c r="G73" s="269">
        <f t="shared" si="1"/>
        <v>3854.0406740828735</v>
      </c>
      <c r="H73" s="269"/>
      <c r="I73" s="124"/>
      <c r="J73" s="124"/>
    </row>
    <row r="74" spans="1:10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1921.2706348217182</v>
      </c>
      <c r="E74" s="168">
        <f>IF(B74&lt;=$F$15,(E$17*(VLOOKUP($H$2,Лист2!$A:$N,12,0)-(B74-1)*VLOOKUP($H$2,Лист2!$A:$N,13,0))),0)</f>
        <v>1857.4400392611558</v>
      </c>
      <c r="F74" s="169">
        <f>ROUND((E$17-SUM(D$29:D73))*F$9*30/365,2)</f>
        <v>75.33</v>
      </c>
      <c r="G74" s="269">
        <f t="shared" si="1"/>
        <v>3854.0406740828739</v>
      </c>
      <c r="H74" s="269"/>
      <c r="I74" s="124"/>
      <c r="J74" s="124"/>
    </row>
    <row r="75" spans="1:10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1970.7493228217184</v>
      </c>
      <c r="E75" s="168">
        <f>IF(B75&lt;=$F$15,(E$17*(VLOOKUP($H$2,Лист2!$A:$N,12,0)-(B75-1)*VLOOKUP($H$2,Лист2!$A:$N,13,0))),0)</f>
        <v>1832.4413512611557</v>
      </c>
      <c r="F75" s="169">
        <f>ROUND((E$17-SUM(D$29:D74))*F$9*30/365,2)</f>
        <v>50.85</v>
      </c>
      <c r="G75" s="269">
        <f t="shared" si="1"/>
        <v>3854.0406740828739</v>
      </c>
      <c r="H75" s="269"/>
      <c r="I75" s="124"/>
      <c r="J75" s="124"/>
    </row>
    <row r="76" spans="1:10" ht="13.8" thickBot="1" x14ac:dyDescent="0.3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2020.9295553792617</v>
      </c>
      <c r="E76" s="168">
        <f>IF(B76&lt;=$F$15,(E$17*(VLOOKUP($H$2,Лист2!$A:$N,12,0)-(B76-1)*VLOOKUP($H$2,Лист2!$A:$N,13,0))),0)</f>
        <v>1807.4426632611558</v>
      </c>
      <c r="F76" s="169">
        <f>ROUND((E$17-SUM(D$29:D75))*F$9*30/365,2)</f>
        <v>25.75</v>
      </c>
      <c r="G76" s="269">
        <f t="shared" si="1"/>
        <v>3854.1222186404175</v>
      </c>
      <c r="H76" s="269"/>
      <c r="I76" s="124"/>
      <c r="J76" s="124"/>
    </row>
    <row r="77" spans="1:10" hidden="1" x14ac:dyDescent="0.25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0" hidden="1" x14ac:dyDescent="0.25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0" hidden="1" x14ac:dyDescent="0.25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0" hidden="1" x14ac:dyDescent="0.25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idden="1" x14ac:dyDescent="0.25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idden="1" x14ac:dyDescent="0.25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idden="1" x14ac:dyDescent="0.25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idden="1" x14ac:dyDescent="0.25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idden="1" x14ac:dyDescent="0.25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idden="1" x14ac:dyDescent="0.25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idden="1" x14ac:dyDescent="0.25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49997.376000000004</v>
      </c>
      <c r="E89" s="174">
        <f>SUM(E29:E88)</f>
        <v>114955.76790053546</v>
      </c>
      <c r="F89" s="174">
        <f>SUM(F29:F88)</f>
        <v>20040.889999999992</v>
      </c>
      <c r="G89" s="263">
        <f>SUM(G29:H88)</f>
        <v>184994.03390053558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$K$38:$K$43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VLOOKUP('Бюджетний Х'!H2,Лист2!A:N,14,FALSE)</f>
        <v>500</v>
      </c>
      <c r="F2" s="118">
        <f>VLOOKUP(H$2,Лист2!$A:$G,2,0)</f>
        <v>41734</v>
      </c>
      <c r="G2" s="135">
        <f ca="1">TODAY()</f>
        <v>44089</v>
      </c>
      <c r="H2" s="286" t="s">
        <v>112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40062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41734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40062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47994.275999999998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0.19500000000000001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0.19800000000000001</v>
      </c>
      <c r="G11" s="273"/>
      <c r="H11" s="273"/>
      <c r="I11" s="3"/>
      <c r="J11" s="53"/>
      <c r="K11" s="132"/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2.9499999999999998E-2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48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7932.2760000000007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47994.275999999998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2863.5593697824338</v>
      </c>
      <c r="G18" s="277"/>
      <c r="H18" s="278"/>
      <c r="I18" s="123"/>
      <c r="J18" s="54"/>
      <c r="K18" s="132" t="str">
        <f>Лист2!A10</f>
        <v>Термін, 36 міс. (ПУМБ)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str">
        <f>Лист2!A11</f>
        <v>Термін, 30 міс. (ПУМБ)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97388.825500946667</v>
      </c>
      <c r="G20" s="279"/>
      <c r="H20" s="279"/>
      <c r="I20" s="1"/>
      <c r="J20" s="55"/>
      <c r="K20" s="132" t="str">
        <f>Лист2!A12</f>
        <v>Термін, 24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Лист2!A13</f>
        <v>Термін, 18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137450.82550094667</v>
      </c>
      <c r="G22" s="273"/>
      <c r="H22" s="273"/>
      <c r="I22" s="1"/>
      <c r="J22" s="55"/>
      <c r="K22" s="132" t="str">
        <f>Лист2!A14</f>
        <v>Термін, 12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Лист2!A15</f>
        <v>Термін, 36 міс. (ПУМБ БК)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1.2163904070854188</v>
      </c>
      <c r="G24" s="159"/>
      <c r="H24" s="22"/>
      <c r="I24" s="1"/>
      <c r="J24" s="1"/>
      <c r="K24" s="132" t="str">
        <f>Лист2!A16</f>
        <v>Термін, 30 міс. (ПУМБ БК)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K25" s="132" t="str">
        <f>Лист2!A17</f>
        <v>Термін, 24 міс. (ПУМБ БК)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str">
        <f>Лист2!A18</f>
        <v>Термін, 18 міс. (ПУМБ БК)</v>
      </c>
    </row>
    <row r="27" spans="1:29" ht="31.2" customHeight="1" thickBot="1" x14ac:dyDescent="0.3">
      <c r="A27" s="1"/>
      <c r="B27" s="178" t="s">
        <v>39</v>
      </c>
      <c r="C27" s="178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str">
        <f>Лист2!A19</f>
        <v>Термін, 12 міс. (ПУМБ БК)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-40062</v>
      </c>
      <c r="H28" s="272"/>
      <c r="I28" s="3"/>
      <c r="K28" s="132" t="str">
        <f>Лист2!A20</f>
        <v>Термін, 36 міс. (СФ)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180.31309551271306</v>
      </c>
      <c r="E29" s="166">
        <f>IF(B29&lt;=$F$15,(E$17*(VLOOKUP($H$2,Лист2!$A:$N,12,0)-(B29-1)*VLOOKUP($H$2,Лист2!$A:$N,13,0))),0)</f>
        <v>1914.0262742697207</v>
      </c>
      <c r="F29" s="166">
        <f>ROUND(E$17*F$9*30/365,2)</f>
        <v>769.22</v>
      </c>
      <c r="G29" s="269">
        <f>SUM(D29:F29)</f>
        <v>2863.5593697824343</v>
      </c>
      <c r="H29" s="269"/>
      <c r="I29" s="3"/>
      <c r="K29" s="132" t="str">
        <f>Лист2!A21</f>
        <v>Термін, 24 міс. (СФ)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207.200233512713</v>
      </c>
      <c r="E30" s="168">
        <f>IF(B30&lt;=$F$15,(E$17*(VLOOKUP($H$2,Лист2!$A:$N,12,0)-(B30-1)*VLOOKUP($H$2,Лист2!$A:$N,13,0))),0)</f>
        <v>1890.0291362697208</v>
      </c>
      <c r="F30" s="169">
        <f>ROUND((E$17-SUM(D$29:D29))*F$9*30/365,2)</f>
        <v>766.33</v>
      </c>
      <c r="G30" s="269">
        <f t="shared" ref="G30:G88" si="1">SUM(D30:F30)</f>
        <v>2863.5593697824338</v>
      </c>
      <c r="H30" s="269"/>
      <c r="I30" s="3"/>
      <c r="K30" s="132" t="str">
        <f>Лист2!A22</f>
        <v>Термін, 18 міс. (СФ)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234.51737151271323</v>
      </c>
      <c r="E31" s="168">
        <f>IF(B31&lt;=$F$15,(E$17*(VLOOKUP($H$2,Лист2!$A:$N,12,0)-(B31-1)*VLOOKUP($H$2,Лист2!$A:$N,13,0))),0)</f>
        <v>1866.0319982697206</v>
      </c>
      <c r="F31" s="169">
        <f>ROUND((E$17-SUM(D$29:D30))*F$9*30/365,2)</f>
        <v>763.01</v>
      </c>
      <c r="G31" s="269">
        <f t="shared" si="1"/>
        <v>2863.5593697824343</v>
      </c>
      <c r="H31" s="269"/>
      <c r="I31" s="3"/>
      <c r="K31" s="132" t="str">
        <f>Лист2!A23</f>
        <v>Термін, 12 міс. (СФ)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262.27450951271317</v>
      </c>
      <c r="E32" s="168">
        <f>IF(B32&lt;=$F$15,(E$17*(VLOOKUP($H$2,Лист2!$A:$N,12,0)-(B32-1)*VLOOKUP($H$2,Лист2!$A:$N,13,0))),0)</f>
        <v>1842.0348602697206</v>
      </c>
      <c r="F32" s="169">
        <f>ROUND((E$17-SUM(D$29:D31))*F$9*30/365,2)</f>
        <v>759.25</v>
      </c>
      <c r="G32" s="269">
        <f t="shared" si="1"/>
        <v>2863.5593697824338</v>
      </c>
      <c r="H32" s="269"/>
      <c r="I32" s="3"/>
      <c r="K32" s="132" t="str">
        <f>Лист2!A24</f>
        <v>Консолідований Х, 60 міс.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290.47164751271316</v>
      </c>
      <c r="E33" s="168">
        <f>IF(B33&lt;=$F$15,(E$17*(VLOOKUP($H$2,Лист2!$A:$N,12,0)-(B33-1)*VLOOKUP($H$2,Лист2!$A:$N,13,0))),0)</f>
        <v>1818.0377222697207</v>
      </c>
      <c r="F33" s="169">
        <f>ROUND((E$17-SUM(D$29:D32))*F$9*30/365,2)</f>
        <v>755.05</v>
      </c>
      <c r="G33" s="269">
        <f t="shared" si="1"/>
        <v>2863.5593697824343</v>
      </c>
      <c r="H33" s="269"/>
      <c r="I33" s="3"/>
      <c r="K33" s="132" t="str">
        <f>Лист2!A25</f>
        <v>Консолідований Х, 48 міс.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319.12878551271308</v>
      </c>
      <c r="E34" s="168">
        <f>IF(B34&lt;=$F$15,(E$17*(VLOOKUP($H$2,Лист2!$A:$N,12,0)-(B34-1)*VLOOKUP($H$2,Лист2!$A:$N,13,0))),0)</f>
        <v>1794.0405842697207</v>
      </c>
      <c r="F34" s="169">
        <f>ROUND((E$17-SUM(D$29:D33))*F$9*30/365,2)</f>
        <v>750.39</v>
      </c>
      <c r="G34" s="269">
        <f t="shared" si="1"/>
        <v>2863.5593697824338</v>
      </c>
      <c r="H34" s="269"/>
      <c r="I34" s="3"/>
      <c r="K34" s="132" t="str">
        <f>Лист2!A26</f>
        <v>Консолідований Х, 36 міс.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348.23592351271327</v>
      </c>
      <c r="E35" s="168">
        <f>IF(B35&lt;=$F$15,(E$17*(VLOOKUP($H$2,Лист2!$A:$N,12,0)-(B35-1)*VLOOKUP($H$2,Лист2!$A:$N,13,0))),0)</f>
        <v>1770.0434462697206</v>
      </c>
      <c r="F35" s="169">
        <f>ROUND((E$17-SUM(D$29:D34))*F$9*30/365,2)</f>
        <v>745.28</v>
      </c>
      <c r="G35" s="269">
        <f t="shared" si="1"/>
        <v>2863.5593697824334</v>
      </c>
      <c r="H35" s="269"/>
      <c r="I35" s="3"/>
      <c r="K35" s="132" t="str">
        <f>Лист2!A27</f>
        <v>Консолідований Х, 24 міс.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377.81306151271315</v>
      </c>
      <c r="E36" s="168">
        <f>IF(B36&lt;=$F$15,(E$17*(VLOOKUP($H$2,Лист2!$A:$N,12,0)-(B36-1)*VLOOKUP($H$2,Лист2!$A:$N,13,0))),0)</f>
        <v>1746.0463082697206</v>
      </c>
      <c r="F36" s="169">
        <f>ROUND((E$17-SUM(D$29:D35))*F$9*30/365,2)</f>
        <v>739.7</v>
      </c>
      <c r="G36" s="269">
        <f t="shared" si="1"/>
        <v>2863.5593697824334</v>
      </c>
      <c r="H36" s="269"/>
      <c r="I36" s="3"/>
      <c r="K36" s="132" t="str">
        <f>Лист2!A28</f>
        <v>Консолідований Х, 18 міс.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407.87019951271293</v>
      </c>
      <c r="E37" s="168">
        <f>IF(B37&lt;=$F$15,(E$17*(VLOOKUP($H$2,Лист2!$A:$N,12,0)-(B37-1)*VLOOKUP($H$2,Лист2!$A:$N,13,0))),0)</f>
        <v>1722.0491702697209</v>
      </c>
      <c r="F37" s="169">
        <f>ROUND((E$17-SUM(D$29:D36))*F$9*30/365,2)</f>
        <v>733.64</v>
      </c>
      <c r="G37" s="269">
        <f t="shared" si="1"/>
        <v>2863.5593697824338</v>
      </c>
      <c r="H37" s="269"/>
      <c r="I37" s="3"/>
      <c r="K37" s="132" t="str">
        <f>Лист2!A29</f>
        <v>Консолідований Х, 12 міс.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438.39733751271285</v>
      </c>
      <c r="E38" s="168">
        <f>IF(B38&lt;=$F$15,(E$17*(VLOOKUP($H$2,Лист2!$A:$N,12,0)-(B38-1)*VLOOKUP($H$2,Лист2!$A:$N,13,0))),0)</f>
        <v>1698.0520322697209</v>
      </c>
      <c r="F38" s="169">
        <f>ROUND((E$17-SUM(D$29:D37))*F$9*30/365,2)</f>
        <v>727.11</v>
      </c>
      <c r="G38" s="269">
        <f t="shared" si="1"/>
        <v>2863.5593697824338</v>
      </c>
      <c r="H38" s="269"/>
      <c r="I38" s="3"/>
      <c r="K38" s="132" t="str">
        <f>Лист2!A30</f>
        <v>Для ВАС Х, 48 міс.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469.424475512713</v>
      </c>
      <c r="E39" s="168">
        <f>IF(B39&lt;=$F$15,(E$17*(VLOOKUP($H$2,Лист2!$A:$N,12,0)-(B39-1)*VLOOKUP($H$2,Лист2!$A:$N,13,0))),0)</f>
        <v>1674.0548942697208</v>
      </c>
      <c r="F39" s="169">
        <f>ROUND((E$17-SUM(D$29:D38))*F$9*30/365,2)</f>
        <v>720.08</v>
      </c>
      <c r="G39" s="269">
        <f t="shared" si="1"/>
        <v>2863.5593697824338</v>
      </c>
      <c r="H39" s="269"/>
      <c r="I39" s="3"/>
      <c r="K39" s="132" t="str">
        <f>Лист2!A31</f>
        <v>Для ВАС Х, 36 міс.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500.94161351271305</v>
      </c>
      <c r="E40" s="168">
        <f>IF(B40&lt;=$F$15,(E$17*(VLOOKUP($H$2,Лист2!$A:$N,12,0)-(B40-1)*VLOOKUP($H$2,Лист2!$A:$N,13,0))),0)</f>
        <v>1650.0577562697208</v>
      </c>
      <c r="F40" s="169">
        <f>ROUND((E$17-SUM(D$29:D39))*F$9*30/365,2)</f>
        <v>712.56</v>
      </c>
      <c r="G40" s="269">
        <f t="shared" si="1"/>
        <v>2863.5593697824338</v>
      </c>
      <c r="H40" s="269"/>
      <c r="I40" s="3"/>
      <c r="K40" s="132" t="str">
        <f>Лист2!A32</f>
        <v>Для ВАС Х, 30 міс.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532.96875151271297</v>
      </c>
      <c r="E41" s="168">
        <f>IF(B41&lt;=$F$15,(E$17*(VLOOKUP($H$2,Лист2!$A:$N,12,0)-(B41-1)*VLOOKUP($H$2,Лист2!$A:$N,13,0))),0)</f>
        <v>1626.0606182697209</v>
      </c>
      <c r="F41" s="169">
        <f>ROUND((E$17-SUM(D$29:D40))*F$9*30/365,2)</f>
        <v>704.53</v>
      </c>
      <c r="G41" s="269">
        <f t="shared" si="1"/>
        <v>2863.5593697824334</v>
      </c>
      <c r="H41" s="269"/>
      <c r="I41" s="3"/>
      <c r="K41" s="132" t="str">
        <f>Лист2!A33</f>
        <v>Для ВАС Х, 24 міс.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565.50588951271288</v>
      </c>
      <c r="E42" s="168">
        <f>IF(B42&lt;=$F$15,(E$17*(VLOOKUP($H$2,Лист2!$A:$N,12,0)-(B42-1)*VLOOKUP($H$2,Лист2!$A:$N,13,0))),0)</f>
        <v>1602.0634802697209</v>
      </c>
      <c r="F42" s="169">
        <f>ROUND((E$17-SUM(D$29:D41))*F$9*30/365,2)</f>
        <v>695.99</v>
      </c>
      <c r="G42" s="269">
        <f t="shared" si="1"/>
        <v>2863.5593697824334</v>
      </c>
      <c r="H42" s="269"/>
      <c r="I42" s="3"/>
      <c r="K42" s="132" t="str">
        <f>Лист2!A34</f>
        <v>Для ВАС Х, 18 міс.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598.57302751271311</v>
      </c>
      <c r="E43" s="168">
        <f>IF(B43&lt;=$F$15,(E$17*(VLOOKUP($H$2,Лист2!$A:$N,12,0)-(B43-1)*VLOOKUP($H$2,Лист2!$A:$N,13,0))),0)</f>
        <v>1578.0663422697207</v>
      </c>
      <c r="F43" s="169">
        <f>ROUND((E$17-SUM(D$29:D42))*F$9*30/365,2)</f>
        <v>686.92</v>
      </c>
      <c r="G43" s="269">
        <f t="shared" si="1"/>
        <v>2863.5593697824338</v>
      </c>
      <c r="H43" s="269"/>
      <c r="I43" s="3"/>
      <c r="K43" s="132" t="str">
        <f>Лист2!A35</f>
        <v>Для ВАС Х, 12 міс.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632.16016551271298</v>
      </c>
      <c r="E44" s="168">
        <f>IF(B44&lt;=$F$15,(E$17*(VLOOKUP($H$2,Лист2!$A:$N,12,0)-(B44-1)*VLOOKUP($H$2,Лист2!$A:$N,13,0))),0)</f>
        <v>1554.0692042697208</v>
      </c>
      <c r="F44" s="169">
        <f>ROUND((E$17-SUM(D$29:D43))*F$9*30/365,2)</f>
        <v>677.33</v>
      </c>
      <c r="G44" s="269">
        <f t="shared" si="1"/>
        <v>2863.5593697824338</v>
      </c>
      <c r="H44" s="269"/>
      <c r="I44" s="3"/>
      <c r="K44" s="132" t="str">
        <f>Лист2!A36</f>
        <v>Бюджетний Х, 48 міс.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666.28730351271292</v>
      </c>
      <c r="E45" s="168">
        <f>IF(B45&lt;=$F$15,(E$17*(VLOOKUP($H$2,Лист2!$A:$N,12,0)-(B45-1)*VLOOKUP($H$2,Лист2!$A:$N,13,0))),0)</f>
        <v>1530.0720662697208</v>
      </c>
      <c r="F45" s="169">
        <f>ROUND((E$17-SUM(D$29:D44))*F$9*30/365,2)</f>
        <v>667.2</v>
      </c>
      <c r="G45" s="269">
        <f t="shared" si="1"/>
        <v>2863.5593697824334</v>
      </c>
      <c r="H45" s="269"/>
      <c r="I45" s="3"/>
      <c r="K45" s="132" t="str">
        <f>Лист2!A37</f>
        <v>Бюджетний Х, 36 міс.</v>
      </c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700.96444151271317</v>
      </c>
      <c r="E46" s="168">
        <f>IF(B46&lt;=$F$15,(E$17*(VLOOKUP($H$2,Лист2!$A:$N,12,0)-(B46-1)*VLOOKUP($H$2,Лист2!$A:$N,13,0))),0)</f>
        <v>1506.0749282697207</v>
      </c>
      <c r="F46" s="169">
        <f>ROUND((E$17-SUM(D$29:D45))*F$9*30/365,2)</f>
        <v>656.52</v>
      </c>
      <c r="G46" s="269">
        <f t="shared" si="1"/>
        <v>2863.5593697824338</v>
      </c>
      <c r="H46" s="269"/>
      <c r="I46" s="3"/>
      <c r="K46" s="132" t="str">
        <f>Лист2!A38</f>
        <v>Бюджетний Х, 30 міс.</v>
      </c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736.20157951271312</v>
      </c>
      <c r="E47" s="168">
        <f>IF(B47&lt;=$F$15,(E$17*(VLOOKUP($H$2,Лист2!$A:$N,12,0)-(B47-1)*VLOOKUP($H$2,Лист2!$A:$N,13,0))),0)</f>
        <v>1482.0777902697207</v>
      </c>
      <c r="F47" s="169">
        <f>ROUND((E$17-SUM(D$29:D46))*F$9*30/365,2)</f>
        <v>645.28</v>
      </c>
      <c r="G47" s="269">
        <f t="shared" si="1"/>
        <v>2863.5593697824334</v>
      </c>
      <c r="H47" s="269"/>
      <c r="I47" s="3"/>
      <c r="K47" s="132" t="str">
        <f>Лист2!A39</f>
        <v>Бюджетний Х, 24 міс.</v>
      </c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771.99871751271303</v>
      </c>
      <c r="E48" s="168">
        <f>IF(B48&lt;=$F$15,(E$17*(VLOOKUP($H$2,Лист2!$A:$N,12,0)-(B48-1)*VLOOKUP($H$2,Лист2!$A:$N,13,0))),0)</f>
        <v>1458.0806522697208</v>
      </c>
      <c r="F48" s="169">
        <f>ROUND((E$17-SUM(D$29:D47))*F$9*30/365,2)</f>
        <v>633.48</v>
      </c>
      <c r="G48" s="269">
        <f t="shared" si="1"/>
        <v>2863.5593697824338</v>
      </c>
      <c r="H48" s="269"/>
      <c r="I48" s="3"/>
      <c r="K48" s="132" t="str">
        <f>Лист2!A40</f>
        <v>Бюджетний Х, 18 міс.</v>
      </c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808.36585551271321</v>
      </c>
      <c r="E49" s="168">
        <f>IF(B49&lt;=$F$15,(E$17*(VLOOKUP($H$2,Лист2!$A:$N,12,0)-(B49-1)*VLOOKUP($H$2,Лист2!$A:$N,13,0))),0)</f>
        <v>1434.0835142697206</v>
      </c>
      <c r="F49" s="169">
        <f>ROUND((E$17-SUM(D$29:D48))*F$9*30/365,2)</f>
        <v>621.11</v>
      </c>
      <c r="G49" s="269">
        <f t="shared" si="1"/>
        <v>2863.5593697824338</v>
      </c>
      <c r="H49" s="269"/>
      <c r="I49" s="3"/>
      <c r="K49" s="132" t="str">
        <f>Лист2!A41</f>
        <v>Бюджетний Х, 12 міс.</v>
      </c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845.3229935127132</v>
      </c>
      <c r="E50" s="168">
        <f>IF(B50&lt;=$F$15,(E$17*(VLOOKUP($H$2,Лист2!$A:$N,12,0)-(B50-1)*VLOOKUP($H$2,Лист2!$A:$N,13,0))),0)</f>
        <v>1410.0863762697206</v>
      </c>
      <c r="F50" s="169">
        <f>ROUND((E$17-SUM(D$29:D49))*F$9*30/365,2)</f>
        <v>608.15</v>
      </c>
      <c r="G50" s="269">
        <f t="shared" si="1"/>
        <v>2863.5593697824338</v>
      </c>
      <c r="H50" s="269"/>
      <c r="I50" s="3"/>
      <c r="K50" s="132" t="str">
        <f>Лист2!A42</f>
        <v>Пенсійний Х, 30 міс.</v>
      </c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882.86013151271311</v>
      </c>
      <c r="E51" s="168">
        <f>IF(B51&lt;=$F$15,(E$17*(VLOOKUP($H$2,Лист2!$A:$N,12,0)-(B51-1)*VLOOKUP($H$2,Лист2!$A:$N,13,0))),0)</f>
        <v>1386.0892382697207</v>
      </c>
      <c r="F51" s="169">
        <f>ROUND((E$17-SUM(D$29:D50))*F$9*30/365,2)</f>
        <v>594.61</v>
      </c>
      <c r="G51" s="269">
        <f t="shared" si="1"/>
        <v>2863.5593697824338</v>
      </c>
      <c r="H51" s="269"/>
      <c r="I51" s="3"/>
      <c r="K51" s="132" t="str">
        <f>Лист2!A43</f>
        <v>Пенсійний Х, 24 міс.</v>
      </c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921.00726951271304</v>
      </c>
      <c r="E52" s="168">
        <f>IF(B52&lt;=$F$15,(E$17*(VLOOKUP($H$2,Лист2!$A:$N,12,0)-(B52-1)*VLOOKUP($H$2,Лист2!$A:$N,13,0))),0)</f>
        <v>1362.0921002697207</v>
      </c>
      <c r="F52" s="169">
        <f>ROUND((E$17-SUM(D$29:D51))*F$9*30/365,2)</f>
        <v>580.46</v>
      </c>
      <c r="G52" s="269">
        <f t="shared" si="1"/>
        <v>2863.5593697824338</v>
      </c>
      <c r="H52" s="269"/>
      <c r="I52" s="3"/>
      <c r="K52" s="132" t="str">
        <f>Лист2!A44</f>
        <v>Пенсійний Х, 18 міс.</v>
      </c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959.77440751271297</v>
      </c>
      <c r="E53" s="168">
        <f>IF(B53&lt;=$F$15,(E$17*(VLOOKUP($H$2,Лист2!$A:$N,12,0)-(B53-1)*VLOOKUP($H$2,Лист2!$A:$N,13,0))),0)</f>
        <v>1338.0949622697208</v>
      </c>
      <c r="F53" s="169">
        <f>ROUND((E$17-SUM(D$29:D52))*F$9*30/365,2)</f>
        <v>565.69000000000005</v>
      </c>
      <c r="G53" s="269">
        <f t="shared" si="1"/>
        <v>2863.5593697824338</v>
      </c>
      <c r="H53" s="269"/>
      <c r="I53" s="3"/>
      <c r="K53" s="132" t="str">
        <f>Лист2!A45</f>
        <v>Пенсійний Х, 12 міс.</v>
      </c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999.15154551271303</v>
      </c>
      <c r="E54" s="168">
        <f>IF(B54&lt;=$F$15,(E$17*(VLOOKUP($H$2,Лист2!$A:$N,12,0)-(B54-1)*VLOOKUP($H$2,Лист2!$A:$N,13,0))),0)</f>
        <v>1314.0978242697208</v>
      </c>
      <c r="F54" s="169">
        <f>ROUND((E$17-SUM(D$29:D53))*F$9*30/365,2)</f>
        <v>550.30999999999995</v>
      </c>
      <c r="G54" s="269">
        <f t="shared" si="1"/>
        <v>2863.5593697824338</v>
      </c>
      <c r="H54" s="269"/>
      <c r="I54" s="3"/>
      <c r="K54" s="132" t="str">
        <f>Лист2!A46</f>
        <v>BIG CASH (ОТП), 48 міс.</v>
      </c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1039.1586835127132</v>
      </c>
      <c r="E55" s="168">
        <f>IF(B55&lt;=$F$15,(E$17*(VLOOKUP($H$2,Лист2!$A:$N,12,0)-(B55-1)*VLOOKUP($H$2,Лист2!$A:$N,13,0))),0)</f>
        <v>1290.1006862697207</v>
      </c>
      <c r="F55" s="169">
        <f>ROUND((E$17-SUM(D$29:D54))*F$9*30/365,2)</f>
        <v>534.29999999999995</v>
      </c>
      <c r="G55" s="269">
        <f t="shared" si="1"/>
        <v>2863.5593697824343</v>
      </c>
      <c r="H55" s="269"/>
      <c r="I55" s="3"/>
      <c r="K55" s="132" t="str">
        <f>Лист2!A47</f>
        <v>BIG CASH (ОТП), 36 міс.</v>
      </c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1079.8158215127128</v>
      </c>
      <c r="E56" s="168">
        <f>IF(B56&lt;=$F$15,(E$17*(VLOOKUP($H$2,Лист2!$A:$N,12,0)-(B56-1)*VLOOKUP($H$2,Лист2!$A:$N,13,0))),0)</f>
        <v>1266.1035482697209</v>
      </c>
      <c r="F56" s="169">
        <f>ROUND((E$17-SUM(D$29:D55))*F$9*30/365,2)</f>
        <v>517.64</v>
      </c>
      <c r="G56" s="269">
        <f t="shared" si="1"/>
        <v>2863.5593697824338</v>
      </c>
      <c r="H56" s="269"/>
      <c r="I56" s="3"/>
      <c r="K56" s="132" t="str">
        <f>Лист2!A48</f>
        <v>BIG CASH (ОТП), 30 міс.</v>
      </c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1121.1129595127131</v>
      </c>
      <c r="E57" s="168">
        <f>IF(B57&lt;=$F$15,(E$17*(VLOOKUP($H$2,Лист2!$A:$N,12,0)-(B57-1)*VLOOKUP($H$2,Лист2!$A:$N,13,0))),0)</f>
        <v>1242.1064102697208</v>
      </c>
      <c r="F57" s="169">
        <f>ROUND((E$17-SUM(D$29:D56))*F$9*30/365,2)</f>
        <v>500.34</v>
      </c>
      <c r="G57" s="269">
        <f t="shared" si="1"/>
        <v>2863.5593697824343</v>
      </c>
      <c r="H57" s="269"/>
      <c r="I57" s="3"/>
      <c r="K57" s="132" t="str">
        <f>Лист2!A49</f>
        <v>BIG CASH (ОТП), 24 міс.</v>
      </c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1163.0800975127131</v>
      </c>
      <c r="E58" s="168">
        <f>IF(B58&lt;=$F$15,(E$17*(VLOOKUP($H$2,Лист2!$A:$N,12,0)-(B58-1)*VLOOKUP($H$2,Лист2!$A:$N,13,0))),0)</f>
        <v>1218.1092722697208</v>
      </c>
      <c r="F58" s="169">
        <f>ROUND((E$17-SUM(D$29:D57))*F$9*30/365,2)</f>
        <v>482.37</v>
      </c>
      <c r="G58" s="269">
        <f t="shared" si="1"/>
        <v>2863.5593697824338</v>
      </c>
      <c r="H58" s="269"/>
      <c r="I58" s="124"/>
      <c r="J58" s="124"/>
      <c r="K58" s="132" t="str">
        <f>Лист2!A50</f>
        <v>BIG CASH (ОТП), 18 міс.</v>
      </c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1205.7172355127129</v>
      </c>
      <c r="E59" s="168">
        <f>IF(B59&lt;=$F$15,(E$17*(VLOOKUP($H$2,Лист2!$A:$N,12,0)-(B59-1)*VLOOKUP($H$2,Лист2!$A:$N,13,0))),0)</f>
        <v>1194.1121342697209</v>
      </c>
      <c r="F59" s="169">
        <f>ROUND((E$17-SUM(D$29:D58))*F$9*30/365,2)</f>
        <v>463.73</v>
      </c>
      <c r="G59" s="269">
        <f t="shared" si="1"/>
        <v>2863.5593697824338</v>
      </c>
      <c r="H59" s="269"/>
      <c r="I59" s="124"/>
      <c r="J59" s="124"/>
      <c r="K59" s="132" t="str">
        <f>Лист2!A51</f>
        <v>BIG CASH (ОТП), 12 міс.</v>
      </c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1249.0443735127133</v>
      </c>
      <c r="E60" s="168">
        <f>IF(B60&lt;=$F$15,(E$17*(VLOOKUP($H$2,Лист2!$A:$N,12,0)-(B60-1)*VLOOKUP($H$2,Лист2!$A:$N,13,0))),0)</f>
        <v>1170.1149962697207</v>
      </c>
      <c r="F60" s="169">
        <f>ROUND((E$17-SUM(D$29:D59))*F$9*30/365,2)</f>
        <v>444.4</v>
      </c>
      <c r="G60" s="269">
        <f t="shared" si="1"/>
        <v>2863.5593697824338</v>
      </c>
      <c r="H60" s="269"/>
      <c r="I60" s="124"/>
      <c r="J60" s="124"/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1293.061511512713</v>
      </c>
      <c r="E61" s="168">
        <f>IF(B61&lt;=$F$15,(E$17*(VLOOKUP($H$2,Лист2!$A:$N,12,0)-(B61-1)*VLOOKUP($H$2,Лист2!$A:$N,13,0))),0)</f>
        <v>1146.1178582697207</v>
      </c>
      <c r="F61" s="169">
        <f>ROUND((E$17-SUM(D$29:D60))*F$9*30/365,2)</f>
        <v>424.38</v>
      </c>
      <c r="G61" s="269">
        <f t="shared" si="1"/>
        <v>2863.5593697824338</v>
      </c>
      <c r="H61" s="269"/>
      <c r="I61" s="124"/>
      <c r="J61" s="124"/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1337.7786495127129</v>
      </c>
      <c r="E62" s="168">
        <f>IF(B62&lt;=$F$15,(E$17*(VLOOKUP($H$2,Лист2!$A:$N,12,0)-(B62-1)*VLOOKUP($H$2,Лист2!$A:$N,13,0))),0)</f>
        <v>1122.1207202697208</v>
      </c>
      <c r="F62" s="169">
        <f>ROUND((E$17-SUM(D$29:D61))*F$9*30/365,2)</f>
        <v>403.66</v>
      </c>
      <c r="G62" s="269">
        <f t="shared" si="1"/>
        <v>2863.5593697824334</v>
      </c>
      <c r="H62" s="269"/>
      <c r="I62" s="124"/>
      <c r="J62" s="124"/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1383.215787512713</v>
      </c>
      <c r="E63" s="168">
        <f>IF(B63&lt;=$F$15,(E$17*(VLOOKUP($H$2,Лист2!$A:$N,12,0)-(B63-1)*VLOOKUP($H$2,Лист2!$A:$N,13,0))),0)</f>
        <v>1098.1235822697208</v>
      </c>
      <c r="F63" s="169">
        <f>ROUND((E$17-SUM(D$29:D62))*F$9*30/365,2)</f>
        <v>382.22</v>
      </c>
      <c r="G63" s="269">
        <f t="shared" si="1"/>
        <v>2863.5593697824343</v>
      </c>
      <c r="H63" s="269"/>
      <c r="I63" s="124"/>
      <c r="J63" s="124"/>
    </row>
    <row r="64" spans="1:11" x14ac:dyDescent="0.25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1429.3829255127132</v>
      </c>
      <c r="E64" s="168">
        <f>IF(B64&lt;=$F$15,(E$17*(VLOOKUP($H$2,Лист2!$A:$N,12,0)-(B64-1)*VLOOKUP($H$2,Лист2!$A:$N,13,0))),0)</f>
        <v>1074.1264442697207</v>
      </c>
      <c r="F64" s="169">
        <f>ROUND((E$17-SUM(D$29:D63))*F$9*30/365,2)</f>
        <v>360.05</v>
      </c>
      <c r="G64" s="269">
        <f t="shared" si="1"/>
        <v>2863.5593697824343</v>
      </c>
      <c r="H64" s="269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1476.290063512713</v>
      </c>
      <c r="E65" s="168">
        <f>IF(B65&lt;=$F$15,(E$17*(VLOOKUP($H$2,Лист2!$A:$N,12,0)-(B65-1)*VLOOKUP($H$2,Лист2!$A:$N,13,0))),0)</f>
        <v>1050.1293062697207</v>
      </c>
      <c r="F65" s="169">
        <f>ROUND((E$17-SUM(D$29:D64))*F$9*30/365,2)</f>
        <v>337.14</v>
      </c>
      <c r="G65" s="269">
        <f t="shared" si="1"/>
        <v>2863.5593697824338</v>
      </c>
      <c r="H65" s="269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1523.947201512713</v>
      </c>
      <c r="E66" s="168">
        <f>IF(B66&lt;=$F$15,(E$17*(VLOOKUP($H$2,Лист2!$A:$N,12,0)-(B66-1)*VLOOKUP($H$2,Лист2!$A:$N,13,0))),0)</f>
        <v>1026.1321682697208</v>
      </c>
      <c r="F66" s="169">
        <f>ROUND((E$17-SUM(D$29:D65))*F$9*30/365,2)</f>
        <v>313.48</v>
      </c>
      <c r="G66" s="269">
        <f t="shared" si="1"/>
        <v>2863.5593697824338</v>
      </c>
      <c r="H66" s="269"/>
      <c r="I66" s="124"/>
      <c r="J66" s="124"/>
    </row>
    <row r="67" spans="1:10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1572.374339512713</v>
      </c>
      <c r="E67" s="168">
        <f>IF(B67&lt;=$F$15,(E$17*(VLOOKUP($H$2,Лист2!$A:$N,12,0)-(B67-1)*VLOOKUP($H$2,Лист2!$A:$N,13,0))),0)</f>
        <v>1002.1350302697208</v>
      </c>
      <c r="F67" s="169">
        <f>ROUND((E$17-SUM(D$29:D66))*F$9*30/365,2)</f>
        <v>289.05</v>
      </c>
      <c r="G67" s="269">
        <f t="shared" si="1"/>
        <v>2863.5593697824343</v>
      </c>
      <c r="H67" s="269"/>
      <c r="I67" s="124"/>
      <c r="J67" s="124"/>
    </row>
    <row r="68" spans="1:10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1621.571477512713</v>
      </c>
      <c r="E68" s="168">
        <f>IF(B68&lt;=$F$15,(E$17*(VLOOKUP($H$2,Лист2!$A:$N,12,0)-(B68-1)*VLOOKUP($H$2,Лист2!$A:$N,13,0))),0)</f>
        <v>978.13789226972074</v>
      </c>
      <c r="F68" s="169">
        <f>ROUND((E$17-SUM(D$29:D67))*F$9*30/365,2)</f>
        <v>263.85000000000002</v>
      </c>
      <c r="G68" s="269">
        <f t="shared" si="1"/>
        <v>2863.5593697824338</v>
      </c>
      <c r="H68" s="269"/>
      <c r="I68" s="124"/>
      <c r="J68" s="124"/>
    </row>
    <row r="69" spans="1:10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1671.558615512713</v>
      </c>
      <c r="E69" s="168">
        <f>IF(B69&lt;=$F$15,(E$17*(VLOOKUP($H$2,Лист2!$A:$N,12,0)-(B69-1)*VLOOKUP($H$2,Лист2!$A:$N,13,0))),0)</f>
        <v>954.14075426972079</v>
      </c>
      <c r="F69" s="169">
        <f>ROUND((E$17-SUM(D$29:D68))*F$9*30/365,2)</f>
        <v>237.86</v>
      </c>
      <c r="G69" s="269">
        <f t="shared" si="1"/>
        <v>2863.5593697824338</v>
      </c>
      <c r="H69" s="269"/>
      <c r="I69" s="124"/>
      <c r="J69" s="124"/>
    </row>
    <row r="70" spans="1:10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1722.3457535127131</v>
      </c>
      <c r="E70" s="168">
        <f>IF(B70&lt;=$F$15,(E$17*(VLOOKUP($H$2,Лист2!$A:$N,12,0)-(B70-1)*VLOOKUP($H$2,Лист2!$A:$N,13,0))),0)</f>
        <v>930.14361626972072</v>
      </c>
      <c r="F70" s="169">
        <f>ROUND((E$17-SUM(D$29:D69))*F$9*30/365,2)</f>
        <v>211.07</v>
      </c>
      <c r="G70" s="269">
        <f t="shared" si="1"/>
        <v>2863.5593697824338</v>
      </c>
      <c r="H70" s="269"/>
      <c r="I70" s="124"/>
      <c r="J70" s="124"/>
    </row>
    <row r="71" spans="1:10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1773.942891512713</v>
      </c>
      <c r="E71" s="168">
        <f>IF(B71&lt;=$F$15,(E$17*(VLOOKUP($H$2,Лист2!$A:$N,12,0)-(B71-1)*VLOOKUP($H$2,Лист2!$A:$N,13,0))),0)</f>
        <v>906.14647826972077</v>
      </c>
      <c r="F71" s="169">
        <f>ROUND((E$17-SUM(D$29:D70))*F$9*30/365,2)</f>
        <v>183.47</v>
      </c>
      <c r="G71" s="269">
        <f t="shared" si="1"/>
        <v>2863.5593697824338</v>
      </c>
      <c r="H71" s="269"/>
      <c r="I71" s="124"/>
      <c r="J71" s="124"/>
    </row>
    <row r="72" spans="1:10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1826.3700295127132</v>
      </c>
      <c r="E72" s="168">
        <f>IF(B72&lt;=$F$15,(E$17*(VLOOKUP($H$2,Лист2!$A:$N,12,0)-(B72-1)*VLOOKUP($H$2,Лист2!$A:$N,13,0))),0)</f>
        <v>882.14934026972071</v>
      </c>
      <c r="F72" s="169">
        <f>ROUND((E$17-SUM(D$29:D71))*F$9*30/365,2)</f>
        <v>155.04</v>
      </c>
      <c r="G72" s="269">
        <f t="shared" si="1"/>
        <v>2863.5593697824338</v>
      </c>
      <c r="H72" s="269"/>
      <c r="I72" s="124"/>
      <c r="J72" s="124"/>
    </row>
    <row r="73" spans="1:10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1879.6471675127129</v>
      </c>
      <c r="E73" s="168">
        <f>IF(B73&lt;=$F$15,(E$17*(VLOOKUP($H$2,Лист2!$A:$N,12,0)-(B73-1)*VLOOKUP($H$2,Лист2!$A:$N,13,0))),0)</f>
        <v>858.15220226972087</v>
      </c>
      <c r="F73" s="169">
        <f>ROUND((E$17-SUM(D$29:D72))*F$9*30/365,2)</f>
        <v>125.76</v>
      </c>
      <c r="G73" s="269">
        <f t="shared" si="1"/>
        <v>2863.5593697824343</v>
      </c>
      <c r="H73" s="269"/>
      <c r="I73" s="124"/>
      <c r="J73" s="124"/>
    </row>
    <row r="74" spans="1:10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1933.764305512713</v>
      </c>
      <c r="E74" s="168">
        <f>IF(B74&lt;=$F$15,(E$17*(VLOOKUP($H$2,Лист2!$A:$N,12,0)-(B74-1)*VLOOKUP($H$2,Лист2!$A:$N,13,0))),0)</f>
        <v>834.15506426972081</v>
      </c>
      <c r="F74" s="169">
        <f>ROUND((E$17-SUM(D$29:D73))*F$9*30/365,2)</f>
        <v>95.64</v>
      </c>
      <c r="G74" s="269">
        <f t="shared" si="1"/>
        <v>2863.5593697824338</v>
      </c>
      <c r="H74" s="269"/>
      <c r="I74" s="124"/>
      <c r="J74" s="124"/>
    </row>
    <row r="75" spans="1:10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1988.7614435127127</v>
      </c>
      <c r="E75" s="168">
        <f>IF(B75&lt;=$F$15,(E$17*(VLOOKUP($H$2,Лист2!$A:$N,12,0)-(B75-1)*VLOOKUP($H$2,Лист2!$A:$N,13,0))),0)</f>
        <v>810.15792626972086</v>
      </c>
      <c r="F75" s="169">
        <f>ROUND((E$17-SUM(D$29:D74))*F$9*30/365,2)</f>
        <v>64.64</v>
      </c>
      <c r="G75" s="269">
        <f t="shared" si="1"/>
        <v>2863.5593697824334</v>
      </c>
      <c r="H75" s="269"/>
      <c r="I75" s="124"/>
      <c r="J75" s="124"/>
    </row>
    <row r="76" spans="1:10" ht="13.8" thickBot="1" x14ac:dyDescent="0.3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2044.6043329024833</v>
      </c>
      <c r="E76" s="168">
        <f>IF(B76&lt;=$F$15,(E$17*(VLOOKUP($H$2,Лист2!$A:$N,12,0)-(B76-1)*VLOOKUP($H$2,Лист2!$A:$N,13,0))),0)</f>
        <v>786.1607882697208</v>
      </c>
      <c r="F76" s="169">
        <f>ROUND((E$17-SUM(D$29:D75))*F$9*30/365,2)</f>
        <v>32.770000000000003</v>
      </c>
      <c r="G76" s="269">
        <f t="shared" si="1"/>
        <v>2863.5351211722041</v>
      </c>
      <c r="H76" s="269"/>
      <c r="I76" s="124"/>
      <c r="J76" s="124"/>
    </row>
    <row r="77" spans="1:10" ht="13.8" hidden="1" thickBot="1" x14ac:dyDescent="0.3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0" ht="13.8" hidden="1" thickBot="1" x14ac:dyDescent="0.3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0" ht="13.8" hidden="1" thickBot="1" x14ac:dyDescent="0.3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0" ht="13.8" hidden="1" thickBot="1" x14ac:dyDescent="0.3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t="13.8" hidden="1" thickBot="1" x14ac:dyDescent="0.3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t="13.8" hidden="1" thickBot="1" x14ac:dyDescent="0.3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t="13.8" hidden="1" thickBot="1" x14ac:dyDescent="0.3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t="13.8" hidden="1" thickBot="1" x14ac:dyDescent="0.3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t="13.8" hidden="1" thickBot="1" x14ac:dyDescent="0.3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t="13.8" hidden="1" thickBot="1" x14ac:dyDescent="0.3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t="13.8" hidden="1" thickBot="1" x14ac:dyDescent="0.3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47994.275999999998</v>
      </c>
      <c r="E89" s="174">
        <f>SUM(E29:E88)</f>
        <v>64804.489500946584</v>
      </c>
      <c r="F89" s="174">
        <f>SUM(F29:F88)</f>
        <v>24652.06</v>
      </c>
      <c r="G89" s="263">
        <f>SUM(G29:H88)</f>
        <v>137450.82550094667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$K$44:$K$49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VLOOKUP('Пенсійний Х'!H2,Лист2!A:N,14,FALSE)</f>
        <v>500</v>
      </c>
      <c r="F2" s="118">
        <f>VLOOKUP(H$2,Лист2!$A:$G,2,0)</f>
        <v>21738</v>
      </c>
      <c r="G2" s="135">
        <f ca="1">TODAY()</f>
        <v>44089</v>
      </c>
      <c r="H2" s="286" t="s">
        <v>118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10000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21738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10000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11530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0.16500000000000001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0.153</v>
      </c>
      <c r="G11" s="273"/>
      <c r="H11" s="273"/>
      <c r="I11" s="3"/>
      <c r="J11" s="53"/>
      <c r="K11" s="132"/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2.8500000000000001E-2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30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1530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11530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800.24087954951551</v>
      </c>
      <c r="G18" s="277"/>
      <c r="H18" s="278"/>
      <c r="I18" s="123"/>
      <c r="J18" s="54"/>
      <c r="K18" s="132" t="str">
        <f>Лист2!A10</f>
        <v>Термін, 36 міс. (ПУМБ)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str">
        <f>Лист2!A11</f>
        <v>Термін, 30 міс. (ПУМБ)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14007.196015228001</v>
      </c>
      <c r="G20" s="279"/>
      <c r="H20" s="279"/>
      <c r="I20" s="1"/>
      <c r="J20" s="55"/>
      <c r="K20" s="132" t="str">
        <f>Лист2!A12</f>
        <v>Термін, 24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Лист2!A13</f>
        <v>Термін, 18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24007.196015228001</v>
      </c>
      <c r="G22" s="273"/>
      <c r="H22" s="273"/>
      <c r="I22" s="1"/>
      <c r="J22" s="55"/>
      <c r="K22" s="132" t="str">
        <f>Лист2!A14</f>
        <v>Термін, 12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Лист2!A15</f>
        <v>Термін, 36 міс. (ПУМБ БК)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1.2367571711540222</v>
      </c>
      <c r="G24" s="159"/>
      <c r="H24" s="22"/>
      <c r="I24" s="1"/>
      <c r="J24" s="1"/>
      <c r="K24" s="132" t="str">
        <f>Лист2!A16</f>
        <v>Термін, 30 міс. (ПУМБ БК)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K25" s="132" t="str">
        <f>Лист2!A17</f>
        <v>Термін, 24 міс. (ПУМБ БК)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str">
        <f>Лист2!A18</f>
        <v>Термін, 18 міс. (ПУМБ БК)</v>
      </c>
    </row>
    <row r="27" spans="1:29" ht="31.2" customHeight="1" thickBot="1" x14ac:dyDescent="0.3">
      <c r="A27" s="1"/>
      <c r="B27" s="178" t="s">
        <v>39</v>
      </c>
      <c r="C27" s="178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str">
        <f>Лист2!A19</f>
        <v>Термін, 12 міс. (ПУМБ БК)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-10000</v>
      </c>
      <c r="H28" s="272"/>
      <c r="I28" s="3"/>
      <c r="K28" s="132" t="str">
        <f>Лист2!A20</f>
        <v>Термін, 36 міс. (СФ)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158.4180123752484</v>
      </c>
      <c r="E29" s="166">
        <f>IF(B29&lt;=$F$15,(E$17*(VLOOKUP($H$2,Лист2!$A:$N,12,0)-(B29-1)*VLOOKUP($H$2,Лист2!$A:$N,13,0))),0)</f>
        <v>485.45286717426711</v>
      </c>
      <c r="F29" s="166">
        <f>ROUND(E$17*F$9*30/365,2)</f>
        <v>156.37</v>
      </c>
      <c r="G29" s="269">
        <f>SUM(D29:F29)</f>
        <v>800.24087954951551</v>
      </c>
      <c r="H29" s="269"/>
      <c r="I29" s="3"/>
      <c r="K29" s="132" t="str">
        <f>Лист2!A21</f>
        <v>Термін, 24 міс. (СФ)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172.09801237524837</v>
      </c>
      <c r="E30" s="168">
        <f>IF(B30&lt;=$F$15,(E$17*(VLOOKUP($H$2,Лист2!$A:$N,12,0)-(B30-1)*VLOOKUP($H$2,Лист2!$A:$N,13,0))),0)</f>
        <v>473.92286717426714</v>
      </c>
      <c r="F30" s="169">
        <f>ROUND((E$17-SUM(D$29:D29))*F$9*30/365,2)</f>
        <v>154.22</v>
      </c>
      <c r="G30" s="269">
        <f t="shared" ref="G30:G88" si="1">SUM(D30:F30)</f>
        <v>800.24087954951551</v>
      </c>
      <c r="H30" s="269"/>
      <c r="I30" s="3"/>
      <c r="K30" s="132" t="str">
        <f>Лист2!A22</f>
        <v>Термін, 18 міс. (СФ)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185.96801237524841</v>
      </c>
      <c r="E31" s="168">
        <f>IF(B31&lt;=$F$15,(E$17*(VLOOKUP($H$2,Лист2!$A:$N,12,0)-(B31-1)*VLOOKUP($H$2,Лист2!$A:$N,13,0))),0)</f>
        <v>462.39286717426711</v>
      </c>
      <c r="F31" s="169">
        <f>ROUND((E$17-SUM(D$29:D30))*F$9*30/365,2)</f>
        <v>151.88</v>
      </c>
      <c r="G31" s="269">
        <f t="shared" si="1"/>
        <v>800.24087954951551</v>
      </c>
      <c r="H31" s="269"/>
      <c r="I31" s="3"/>
      <c r="K31" s="132" t="str">
        <f>Лист2!A23</f>
        <v>Термін, 12 міс. (СФ)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200.01801237524842</v>
      </c>
      <c r="E32" s="168">
        <f>IF(B32&lt;=$F$15,(E$17*(VLOOKUP($H$2,Лист2!$A:$N,12,0)-(B32-1)*VLOOKUP($H$2,Лист2!$A:$N,13,0))),0)</f>
        <v>450.86286717426708</v>
      </c>
      <c r="F32" s="169">
        <f>ROUND((E$17-SUM(D$29:D31))*F$9*30/365,2)</f>
        <v>149.36000000000001</v>
      </c>
      <c r="G32" s="269">
        <f t="shared" si="1"/>
        <v>800.24087954951551</v>
      </c>
      <c r="H32" s="269"/>
      <c r="I32" s="3"/>
      <c r="K32" s="132" t="str">
        <f>Лист2!A24</f>
        <v>Консолідований Х, 60 міс.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214.2580123752484</v>
      </c>
      <c r="E33" s="168">
        <f>IF(B33&lt;=$F$15,(E$17*(VLOOKUP($H$2,Лист2!$A:$N,12,0)-(B33-1)*VLOOKUP($H$2,Лист2!$A:$N,13,0))),0)</f>
        <v>439.33286717426711</v>
      </c>
      <c r="F33" s="169">
        <f>ROUND((E$17-SUM(D$29:D32))*F$9*30/365,2)</f>
        <v>146.65</v>
      </c>
      <c r="G33" s="269">
        <f t="shared" si="1"/>
        <v>800.24087954951551</v>
      </c>
      <c r="H33" s="269"/>
      <c r="I33" s="3"/>
      <c r="K33" s="132" t="str">
        <f>Лист2!A25</f>
        <v>Консолідований Х, 48 міс.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228.69801237524837</v>
      </c>
      <c r="E34" s="168">
        <f>IF(B34&lt;=$F$15,(E$17*(VLOOKUP($H$2,Лист2!$A:$N,12,0)-(B34-1)*VLOOKUP($H$2,Лист2!$A:$N,13,0))),0)</f>
        <v>427.80286717426713</v>
      </c>
      <c r="F34" s="169">
        <f>ROUND((E$17-SUM(D$29:D33))*F$9*30/365,2)</f>
        <v>143.74</v>
      </c>
      <c r="G34" s="269">
        <f t="shared" si="1"/>
        <v>800.24087954951551</v>
      </c>
      <c r="H34" s="269"/>
      <c r="I34" s="3"/>
      <c r="K34" s="132" t="str">
        <f>Лист2!A26</f>
        <v>Консолідований Х, 36 міс.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243.32801237524836</v>
      </c>
      <c r="E35" s="168">
        <f>IF(B35&lt;=$F$15,(E$17*(VLOOKUP($H$2,Лист2!$A:$N,12,0)-(B35-1)*VLOOKUP($H$2,Лист2!$A:$N,13,0))),0)</f>
        <v>416.27286717426716</v>
      </c>
      <c r="F35" s="169">
        <f>ROUND((E$17-SUM(D$29:D34))*F$9*30/365,2)</f>
        <v>140.63999999999999</v>
      </c>
      <c r="G35" s="269">
        <f t="shared" si="1"/>
        <v>800.24087954951551</v>
      </c>
      <c r="H35" s="269"/>
      <c r="I35" s="3"/>
      <c r="K35" s="132" t="str">
        <f>Лист2!A27</f>
        <v>Консолідований Х, 24 міс.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258.1580123752484</v>
      </c>
      <c r="E36" s="168">
        <f>IF(B36&lt;=$F$15,(E$17*(VLOOKUP($H$2,Лист2!$A:$N,12,0)-(B36-1)*VLOOKUP($H$2,Лист2!$A:$N,13,0))),0)</f>
        <v>404.74286717426713</v>
      </c>
      <c r="F36" s="169">
        <f>ROUND((E$17-SUM(D$29:D35))*F$9*30/365,2)</f>
        <v>137.34</v>
      </c>
      <c r="G36" s="269">
        <f t="shared" si="1"/>
        <v>800.24087954951563</v>
      </c>
      <c r="H36" s="269"/>
      <c r="I36" s="3"/>
      <c r="K36" s="132" t="str">
        <f>Лист2!A28</f>
        <v>Консолідований Х, 18 міс.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273.18801237524838</v>
      </c>
      <c r="E37" s="168">
        <f>IF(B37&lt;=$F$15,(E$17*(VLOOKUP($H$2,Лист2!$A:$N,12,0)-(B37-1)*VLOOKUP($H$2,Лист2!$A:$N,13,0))),0)</f>
        <v>393.2128671742671</v>
      </c>
      <c r="F37" s="169">
        <f>ROUND((E$17-SUM(D$29:D36))*F$9*30/365,2)</f>
        <v>133.84</v>
      </c>
      <c r="G37" s="269">
        <f t="shared" si="1"/>
        <v>800.24087954951551</v>
      </c>
      <c r="H37" s="269"/>
      <c r="I37" s="3"/>
      <c r="K37" s="132" t="str">
        <f>Лист2!A29</f>
        <v>Консолідований Х, 12 міс.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288.4180123752484</v>
      </c>
      <c r="E38" s="168">
        <f>IF(B38&lt;=$F$15,(E$17*(VLOOKUP($H$2,Лист2!$A:$N,12,0)-(B38-1)*VLOOKUP($H$2,Лист2!$A:$N,13,0))),0)</f>
        <v>381.68286717426713</v>
      </c>
      <c r="F38" s="169">
        <f>ROUND((E$17-SUM(D$29:D37))*F$9*30/365,2)</f>
        <v>130.13999999999999</v>
      </c>
      <c r="G38" s="269">
        <f t="shared" si="1"/>
        <v>800.24087954951551</v>
      </c>
      <c r="H38" s="269"/>
      <c r="I38" s="3"/>
      <c r="K38" s="132" t="str">
        <f>Лист2!A30</f>
        <v>Для ВАС Х, 48 міс.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303.86801237524844</v>
      </c>
      <c r="E39" s="168">
        <f>IF(B39&lt;=$F$15,(E$17*(VLOOKUP($H$2,Лист2!$A:$N,12,0)-(B39-1)*VLOOKUP($H$2,Лист2!$A:$N,13,0))),0)</f>
        <v>370.1528671742671</v>
      </c>
      <c r="F39" s="169">
        <f>ROUND((E$17-SUM(D$29:D38))*F$9*30/365,2)</f>
        <v>126.22</v>
      </c>
      <c r="G39" s="269">
        <f t="shared" si="1"/>
        <v>800.24087954951551</v>
      </c>
      <c r="H39" s="269"/>
      <c r="I39" s="3"/>
      <c r="K39" s="132" t="str">
        <f>Лист2!A31</f>
        <v>Для ВАС Х, 36 міс.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319.51801237524842</v>
      </c>
      <c r="E40" s="168">
        <f>IF(B40&lt;=$F$15,(E$17*(VLOOKUP($H$2,Лист2!$A:$N,12,0)-(B40-1)*VLOOKUP($H$2,Лист2!$A:$N,13,0))),0)</f>
        <v>358.62286717426713</v>
      </c>
      <c r="F40" s="169">
        <f>ROUND((E$17-SUM(D$29:D39))*F$9*30/365,2)</f>
        <v>122.1</v>
      </c>
      <c r="G40" s="269">
        <f t="shared" si="1"/>
        <v>800.24087954951563</v>
      </c>
      <c r="H40" s="269"/>
      <c r="I40" s="3"/>
      <c r="K40" s="132" t="str">
        <f>Лист2!A32</f>
        <v>Для ВАС Х, 30 міс.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335.37801237524843</v>
      </c>
      <c r="E41" s="168">
        <f>IF(B41&lt;=$F$15,(E$17*(VLOOKUP($H$2,Лист2!$A:$N,12,0)-(B41-1)*VLOOKUP($H$2,Лист2!$A:$N,13,0))),0)</f>
        <v>347.0928671742671</v>
      </c>
      <c r="F41" s="169">
        <f>ROUND((E$17-SUM(D$29:D40))*F$9*30/365,2)</f>
        <v>117.77</v>
      </c>
      <c r="G41" s="269">
        <f t="shared" si="1"/>
        <v>800.24087954951551</v>
      </c>
      <c r="H41" s="269"/>
      <c r="I41" s="3"/>
      <c r="K41" s="132" t="str">
        <f>Лист2!A33</f>
        <v>Для ВАС Х, 24 міс.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351.45801237524836</v>
      </c>
      <c r="E42" s="168">
        <f>IF(B42&lt;=$F$15,(E$17*(VLOOKUP($H$2,Лист2!$A:$N,12,0)-(B42-1)*VLOOKUP($H$2,Лист2!$A:$N,13,0))),0)</f>
        <v>335.56286717426713</v>
      </c>
      <c r="F42" s="169">
        <f>ROUND((E$17-SUM(D$29:D41))*F$9*30/365,2)</f>
        <v>113.22</v>
      </c>
      <c r="G42" s="269">
        <f t="shared" si="1"/>
        <v>800.24087954951551</v>
      </c>
      <c r="H42" s="269"/>
      <c r="I42" s="3"/>
      <c r="K42" s="132" t="str">
        <f>Лист2!A34</f>
        <v>Для ВАС Х, 18 міс.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367.74801237524838</v>
      </c>
      <c r="E43" s="168">
        <f>IF(B43&lt;=$F$15,(E$17*(VLOOKUP($H$2,Лист2!$A:$N,12,0)-(B43-1)*VLOOKUP($H$2,Лист2!$A:$N,13,0))),0)</f>
        <v>324.03286717426715</v>
      </c>
      <c r="F43" s="169">
        <f>ROUND((E$17-SUM(D$29:D42))*F$9*30/365,2)</f>
        <v>108.46</v>
      </c>
      <c r="G43" s="269">
        <f t="shared" si="1"/>
        <v>800.24087954951551</v>
      </c>
      <c r="H43" s="269"/>
      <c r="I43" s="3"/>
      <c r="K43" s="132" t="str">
        <f>Лист2!A35</f>
        <v>Для ВАС Х, 12 міс.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384.26801237524842</v>
      </c>
      <c r="E44" s="168">
        <f>IF(B44&lt;=$F$15,(E$17*(VLOOKUP($H$2,Лист2!$A:$N,12,0)-(B44-1)*VLOOKUP($H$2,Лист2!$A:$N,13,0))),0)</f>
        <v>312.50286717426712</v>
      </c>
      <c r="F44" s="169">
        <f>ROUND((E$17-SUM(D$29:D43))*F$9*30/365,2)</f>
        <v>103.47</v>
      </c>
      <c r="G44" s="269">
        <f t="shared" si="1"/>
        <v>800.24087954951551</v>
      </c>
      <c r="H44" s="269"/>
      <c r="I44" s="3"/>
      <c r="K44" s="132" t="str">
        <f>Лист2!A36</f>
        <v>Бюджетний Х, 48 міс.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401.00801237524843</v>
      </c>
      <c r="E45" s="168">
        <f>IF(B45&lt;=$F$15,(E$17*(VLOOKUP($H$2,Лист2!$A:$N,12,0)-(B45-1)*VLOOKUP($H$2,Лист2!$A:$N,13,0))),0)</f>
        <v>300.97286717426709</v>
      </c>
      <c r="F45" s="169">
        <f>ROUND((E$17-SUM(D$29:D44))*F$9*30/365,2)</f>
        <v>98.26</v>
      </c>
      <c r="G45" s="269">
        <f t="shared" si="1"/>
        <v>800.24087954951551</v>
      </c>
      <c r="H45" s="269"/>
      <c r="I45" s="3"/>
      <c r="K45" s="132" t="str">
        <f>Лист2!A37</f>
        <v>Бюджетний Х, 36 міс.</v>
      </c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417.9780123752484</v>
      </c>
      <c r="E46" s="168">
        <f>IF(B46&lt;=$F$15,(E$17*(VLOOKUP($H$2,Лист2!$A:$N,12,0)-(B46-1)*VLOOKUP($H$2,Лист2!$A:$N,13,0))),0)</f>
        <v>289.44286717426712</v>
      </c>
      <c r="F46" s="169">
        <f>ROUND((E$17-SUM(D$29:D45))*F$9*30/365,2)</f>
        <v>92.82</v>
      </c>
      <c r="G46" s="269">
        <f t="shared" si="1"/>
        <v>800.24087954951551</v>
      </c>
      <c r="H46" s="269"/>
      <c r="I46" s="3"/>
      <c r="K46" s="132" t="str">
        <f>Лист2!A38</f>
        <v>Бюджетний Х, 30 міс.</v>
      </c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435.17801237524839</v>
      </c>
      <c r="E47" s="168">
        <f>IF(B47&lt;=$F$15,(E$17*(VLOOKUP($H$2,Лист2!$A:$N,12,0)-(B47-1)*VLOOKUP($H$2,Лист2!$A:$N,13,0))),0)</f>
        <v>277.91286717426709</v>
      </c>
      <c r="F47" s="169">
        <f>ROUND((E$17-SUM(D$29:D46))*F$9*30/365,2)</f>
        <v>87.15</v>
      </c>
      <c r="G47" s="269">
        <f t="shared" si="1"/>
        <v>800.2408795495154</v>
      </c>
      <c r="H47" s="269"/>
      <c r="I47" s="3"/>
      <c r="K47" s="132" t="str">
        <f>Лист2!A39</f>
        <v>Бюджетний Х, 24 міс.</v>
      </c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452.60801237524834</v>
      </c>
      <c r="E48" s="168">
        <f>IF(B48&lt;=$F$15,(E$17*(VLOOKUP($H$2,Лист2!$A:$N,12,0)-(B48-1)*VLOOKUP($H$2,Лист2!$A:$N,13,0))),0)</f>
        <v>266.38286717426712</v>
      </c>
      <c r="F48" s="169">
        <f>ROUND((E$17-SUM(D$29:D47))*F$9*30/365,2)</f>
        <v>81.25</v>
      </c>
      <c r="G48" s="269">
        <f t="shared" si="1"/>
        <v>800.24087954951551</v>
      </c>
      <c r="H48" s="269"/>
      <c r="I48" s="3"/>
      <c r="K48" s="132" t="str">
        <f>Лист2!A40</f>
        <v>Бюджетний Х, 18 міс.</v>
      </c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470.27801237524841</v>
      </c>
      <c r="E49" s="168">
        <f>IF(B49&lt;=$F$15,(E$17*(VLOOKUP($H$2,Лист2!$A:$N,12,0)-(B49-1)*VLOOKUP($H$2,Лист2!$A:$N,13,0))),0)</f>
        <v>254.85286717426712</v>
      </c>
      <c r="F49" s="169">
        <f>ROUND((E$17-SUM(D$29:D48))*F$9*30/365,2)</f>
        <v>75.11</v>
      </c>
      <c r="G49" s="269">
        <f t="shared" si="1"/>
        <v>800.24087954951551</v>
      </c>
      <c r="H49" s="269"/>
      <c r="I49" s="3"/>
      <c r="K49" s="132" t="str">
        <f>Лист2!A41</f>
        <v>Бюджетний Х, 12 міс.</v>
      </c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488.18801237524838</v>
      </c>
      <c r="E50" s="168">
        <f>IF(B50&lt;=$F$15,(E$17*(VLOOKUP($H$2,Лист2!$A:$N,12,0)-(B50-1)*VLOOKUP($H$2,Лист2!$A:$N,13,0))),0)</f>
        <v>243.32286717426712</v>
      </c>
      <c r="F50" s="169">
        <f>ROUND((E$17-SUM(D$29:D49))*F$9*30/365,2)</f>
        <v>68.73</v>
      </c>
      <c r="G50" s="269">
        <f t="shared" si="1"/>
        <v>800.24087954951551</v>
      </c>
      <c r="H50" s="269"/>
      <c r="I50" s="3"/>
      <c r="K50" s="132" t="str">
        <f>Лист2!A42</f>
        <v>Пенсійний Х, 30 міс.</v>
      </c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506.33801237524835</v>
      </c>
      <c r="E51" s="168">
        <f>IF(B51&lt;=$F$15,(E$17*(VLOOKUP($H$2,Лист2!$A:$N,12,0)-(B51-1)*VLOOKUP($H$2,Лист2!$A:$N,13,0))),0)</f>
        <v>231.79286717426714</v>
      </c>
      <c r="F51" s="169">
        <f>ROUND((E$17-SUM(D$29:D50))*F$9*30/365,2)</f>
        <v>62.11</v>
      </c>
      <c r="G51" s="269">
        <f t="shared" si="1"/>
        <v>800.24087954951551</v>
      </c>
      <c r="H51" s="269"/>
      <c r="I51" s="3"/>
      <c r="K51" s="132" t="str">
        <f>Лист2!A43</f>
        <v>Пенсійний Х, 24 міс.</v>
      </c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524.72801237524834</v>
      </c>
      <c r="E52" s="168">
        <f>IF(B52&lt;=$F$15,(E$17*(VLOOKUP($H$2,Лист2!$A:$N,12,0)-(B52-1)*VLOOKUP($H$2,Лист2!$A:$N,13,0))),0)</f>
        <v>220.26286717426714</v>
      </c>
      <c r="F52" s="169">
        <f>ROUND((E$17-SUM(D$29:D51))*F$9*30/365,2)</f>
        <v>55.25</v>
      </c>
      <c r="G52" s="269">
        <f t="shared" si="1"/>
        <v>800.24087954951551</v>
      </c>
      <c r="H52" s="269"/>
      <c r="I52" s="3"/>
      <c r="K52" s="132" t="str">
        <f>Лист2!A44</f>
        <v>Пенсійний Х, 18 міс.</v>
      </c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543.37801237524843</v>
      </c>
      <c r="E53" s="168">
        <f>IF(B53&lt;=$F$15,(E$17*(VLOOKUP($H$2,Лист2!$A:$N,12,0)-(B53-1)*VLOOKUP($H$2,Лист2!$A:$N,13,0))),0)</f>
        <v>208.73286717426711</v>
      </c>
      <c r="F53" s="169">
        <f>ROUND((E$17-SUM(D$29:D52))*F$9*30/365,2)</f>
        <v>48.13</v>
      </c>
      <c r="G53" s="269">
        <f t="shared" si="1"/>
        <v>800.24087954951551</v>
      </c>
      <c r="H53" s="269"/>
      <c r="I53" s="3"/>
      <c r="K53" s="132" t="str">
        <f>Лист2!A45</f>
        <v>Пенсійний Х, 12 міс.</v>
      </c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562.27801237524841</v>
      </c>
      <c r="E54" s="168">
        <f>IF(B54&lt;=$F$15,(E$17*(VLOOKUP($H$2,Лист2!$A:$N,12,0)-(B54-1)*VLOOKUP($H$2,Лист2!$A:$N,13,0))),0)</f>
        <v>197.20286717426711</v>
      </c>
      <c r="F54" s="169">
        <f>ROUND((E$17-SUM(D$29:D53))*F$9*30/365,2)</f>
        <v>40.76</v>
      </c>
      <c r="G54" s="269">
        <f t="shared" si="1"/>
        <v>800.24087954951551</v>
      </c>
      <c r="H54" s="269"/>
      <c r="I54" s="3"/>
      <c r="K54" s="132" t="str">
        <f>Лист2!A46</f>
        <v>BIG CASH (ОТП), 48 міс.</v>
      </c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581.43801237524838</v>
      </c>
      <c r="E55" s="168">
        <f>IF(B55&lt;=$F$15,(E$17*(VLOOKUP($H$2,Лист2!$A:$N,12,0)-(B55-1)*VLOOKUP($H$2,Лист2!$A:$N,13,0))),0)</f>
        <v>185.67286717426711</v>
      </c>
      <c r="F55" s="169">
        <f>ROUND((E$17-SUM(D$29:D54))*F$9*30/365,2)</f>
        <v>33.130000000000003</v>
      </c>
      <c r="G55" s="269">
        <f t="shared" si="1"/>
        <v>800.24087954951551</v>
      </c>
      <c r="H55" s="269"/>
      <c r="I55" s="3"/>
      <c r="K55" s="132" t="str">
        <f>Лист2!A47</f>
        <v>BIG CASH (ОТП), 36 міс.</v>
      </c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600.84801237524835</v>
      </c>
      <c r="E56" s="168">
        <f>IF(B56&lt;=$F$15,(E$17*(VLOOKUP($H$2,Лист2!$A:$N,12,0)-(B56-1)*VLOOKUP($H$2,Лист2!$A:$N,13,0))),0)</f>
        <v>174.14286717426714</v>
      </c>
      <c r="F56" s="169">
        <f>ROUND((E$17-SUM(D$29:D55))*F$9*30/365,2)</f>
        <v>25.25</v>
      </c>
      <c r="G56" s="269">
        <f t="shared" si="1"/>
        <v>800.24087954951551</v>
      </c>
      <c r="H56" s="269"/>
      <c r="I56" s="3"/>
      <c r="K56" s="132" t="str">
        <f>Лист2!A48</f>
        <v>BIG CASH (ОТП), 30 міс.</v>
      </c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620.52801237524841</v>
      </c>
      <c r="E57" s="168">
        <f>IF(B57&lt;=$F$15,(E$17*(VLOOKUP($H$2,Лист2!$A:$N,12,0)-(B57-1)*VLOOKUP($H$2,Лист2!$A:$N,13,0))),0)</f>
        <v>162.61286717426711</v>
      </c>
      <c r="F57" s="169">
        <f>ROUND((E$17-SUM(D$29:D56))*F$9*30/365,2)</f>
        <v>17.100000000000001</v>
      </c>
      <c r="G57" s="269">
        <f t="shared" si="1"/>
        <v>800.24087954951551</v>
      </c>
      <c r="H57" s="269"/>
      <c r="I57" s="3"/>
      <c r="K57" s="132" t="str">
        <f>Лист2!A49</f>
        <v>BIG CASH (ОТП), 24 міс.</v>
      </c>
    </row>
    <row r="58" spans="1:11" ht="13.8" thickBot="1" x14ac:dyDescent="0.3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640.43764111779456</v>
      </c>
      <c r="E58" s="168">
        <f>IF(B58&lt;=$F$15,(E$17*(VLOOKUP($H$2,Лист2!$A:$N,12,0)-(B58-1)*VLOOKUP($H$2,Лист2!$A:$N,13,0))),0)</f>
        <v>151.08286717426711</v>
      </c>
      <c r="F58" s="169">
        <f>ROUND((E$17-SUM(D$29:D57))*F$9*30/365,2)</f>
        <v>8.69</v>
      </c>
      <c r="G58" s="269">
        <f t="shared" si="1"/>
        <v>800.21050829206172</v>
      </c>
      <c r="H58" s="269"/>
      <c r="I58" s="124"/>
      <c r="J58" s="124"/>
      <c r="K58" s="132" t="str">
        <f>Лист2!A50</f>
        <v>BIG CASH (ОТП), 18 міс.</v>
      </c>
    </row>
    <row r="59" spans="1:11" hidden="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0</v>
      </c>
      <c r="E59" s="168">
        <f>IF(B59&lt;=$F$15,(E$17*(VLOOKUP($H$2,Лист2!$A:$N,12,0)-(B59-1)*VLOOKUP($H$2,Лист2!$A:$N,13,0))),0)</f>
        <v>0</v>
      </c>
      <c r="F59" s="169">
        <f>ROUND((E$17-SUM(D$29:D58))*F$9*30/365,2)</f>
        <v>0</v>
      </c>
      <c r="G59" s="269">
        <f t="shared" si="1"/>
        <v>0</v>
      </c>
      <c r="H59" s="269"/>
      <c r="I59" s="124"/>
      <c r="J59" s="124"/>
      <c r="K59" s="132" t="str">
        <f>Лист2!A51</f>
        <v>BIG CASH (ОТП), 12 міс.</v>
      </c>
    </row>
    <row r="60" spans="1:11" hidden="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0</v>
      </c>
      <c r="E60" s="168">
        <f>IF(B60&lt;=$F$15,(E$17*(VLOOKUP($H$2,Лист2!$A:$N,12,0)-(B60-1)*VLOOKUP($H$2,Лист2!$A:$N,13,0))),0)</f>
        <v>0</v>
      </c>
      <c r="F60" s="169">
        <f>ROUND((E$17-SUM(D$29:D59))*F$9*30/365,2)</f>
        <v>0</v>
      </c>
      <c r="G60" s="269">
        <f t="shared" si="1"/>
        <v>0</v>
      </c>
      <c r="H60" s="269"/>
      <c r="I60" s="124"/>
      <c r="J60" s="124"/>
    </row>
    <row r="61" spans="1:11" hidden="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0</v>
      </c>
      <c r="E61" s="168">
        <f>IF(B61&lt;=$F$15,(E$17*(VLOOKUP($H$2,Лист2!$A:$N,12,0)-(B61-1)*VLOOKUP($H$2,Лист2!$A:$N,13,0))),0)</f>
        <v>0</v>
      </c>
      <c r="F61" s="169">
        <f>ROUND((E$17-SUM(D$29:D60))*F$9*30/365,2)</f>
        <v>0</v>
      </c>
      <c r="G61" s="269">
        <f t="shared" si="1"/>
        <v>0</v>
      </c>
      <c r="H61" s="269"/>
      <c r="I61" s="124"/>
      <c r="J61" s="124"/>
    </row>
    <row r="62" spans="1:11" hidden="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0</v>
      </c>
      <c r="E62" s="168">
        <f>IF(B62&lt;=$F$15,(E$17*(VLOOKUP($H$2,Лист2!$A:$N,12,0)-(B62-1)*VLOOKUP($H$2,Лист2!$A:$N,13,0))),0)</f>
        <v>0</v>
      </c>
      <c r="F62" s="169">
        <f>ROUND((E$17-SUM(D$29:D61))*F$9*30/365,2)</f>
        <v>0</v>
      </c>
      <c r="G62" s="269">
        <f t="shared" si="1"/>
        <v>0</v>
      </c>
      <c r="H62" s="269"/>
      <c r="I62" s="124"/>
      <c r="J62" s="124"/>
    </row>
    <row r="63" spans="1:11" hidden="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0</v>
      </c>
      <c r="E63" s="168">
        <f>IF(B63&lt;=$F$15,(E$17*(VLOOKUP($H$2,Лист2!$A:$N,12,0)-(B63-1)*VLOOKUP($H$2,Лист2!$A:$N,13,0))),0)</f>
        <v>0</v>
      </c>
      <c r="F63" s="169">
        <f>ROUND((E$17-SUM(D$29:D62))*F$9*30/365,2)</f>
        <v>0</v>
      </c>
      <c r="G63" s="269">
        <f t="shared" si="1"/>
        <v>0</v>
      </c>
      <c r="H63" s="269"/>
      <c r="I63" s="124"/>
      <c r="J63" s="124"/>
    </row>
    <row r="64" spans="1:11" hidden="1" x14ac:dyDescent="0.25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0</v>
      </c>
      <c r="E64" s="168">
        <f>IF(B64&lt;=$F$15,(E$17*(VLOOKUP($H$2,Лист2!$A:$N,12,0)-(B64-1)*VLOOKUP($H$2,Лист2!$A:$N,13,0))),0)</f>
        <v>0</v>
      </c>
      <c r="F64" s="169">
        <f>ROUND((E$17-SUM(D$29:D63))*F$9*30/365,2)</f>
        <v>0</v>
      </c>
      <c r="G64" s="269">
        <f t="shared" si="1"/>
        <v>0</v>
      </c>
      <c r="H64" s="269"/>
      <c r="I64" s="124"/>
      <c r="J64" s="124"/>
    </row>
    <row r="65" spans="1:10" hidden="1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0</v>
      </c>
      <c r="E65" s="168">
        <f>IF(B65&lt;=$F$15,(E$17*(VLOOKUP($H$2,Лист2!$A:$N,12,0)-(B65-1)*VLOOKUP($H$2,Лист2!$A:$N,13,0))),0)</f>
        <v>0</v>
      </c>
      <c r="F65" s="169">
        <f>ROUND((E$17-SUM(D$29:D64))*F$9*30/365,2)</f>
        <v>0</v>
      </c>
      <c r="G65" s="269">
        <f t="shared" si="1"/>
        <v>0</v>
      </c>
      <c r="H65" s="269"/>
      <c r="I65" s="124"/>
      <c r="J65" s="124"/>
    </row>
    <row r="66" spans="1:10" hidden="1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0</v>
      </c>
      <c r="E66" s="168">
        <f>IF(B66&lt;=$F$15,(E$17*(VLOOKUP($H$2,Лист2!$A:$N,12,0)-(B66-1)*VLOOKUP($H$2,Лист2!$A:$N,13,0))),0)</f>
        <v>0</v>
      </c>
      <c r="F66" s="169">
        <f>ROUND((E$17-SUM(D$29:D65))*F$9*30/365,2)</f>
        <v>0</v>
      </c>
      <c r="G66" s="269">
        <f t="shared" si="1"/>
        <v>0</v>
      </c>
      <c r="H66" s="269"/>
      <c r="I66" s="124"/>
      <c r="J66" s="124"/>
    </row>
    <row r="67" spans="1:10" hidden="1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0</v>
      </c>
      <c r="E67" s="168">
        <f>IF(B67&lt;=$F$15,(E$17*(VLOOKUP($H$2,Лист2!$A:$N,12,0)-(B67-1)*VLOOKUP($H$2,Лист2!$A:$N,13,0))),0)</f>
        <v>0</v>
      </c>
      <c r="F67" s="169">
        <f>ROUND((E$17-SUM(D$29:D66))*F$9*30/365,2)</f>
        <v>0</v>
      </c>
      <c r="G67" s="269">
        <f t="shared" si="1"/>
        <v>0</v>
      </c>
      <c r="H67" s="269"/>
      <c r="I67" s="124"/>
      <c r="J67" s="124"/>
    </row>
    <row r="68" spans="1:10" hidden="1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0</v>
      </c>
      <c r="E68" s="168">
        <f>IF(B68&lt;=$F$15,(E$17*(VLOOKUP($H$2,Лист2!$A:$N,12,0)-(B68-1)*VLOOKUP($H$2,Лист2!$A:$N,13,0))),0)</f>
        <v>0</v>
      </c>
      <c r="F68" s="169">
        <f>ROUND((E$17-SUM(D$29:D67))*F$9*30/365,2)</f>
        <v>0</v>
      </c>
      <c r="G68" s="269">
        <f t="shared" si="1"/>
        <v>0</v>
      </c>
      <c r="H68" s="269"/>
      <c r="I68" s="124"/>
      <c r="J68" s="124"/>
    </row>
    <row r="69" spans="1:10" hidden="1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0</v>
      </c>
      <c r="E69" s="168">
        <f>IF(B69&lt;=$F$15,(E$17*(VLOOKUP($H$2,Лист2!$A:$N,12,0)-(B69-1)*VLOOKUP($H$2,Лист2!$A:$N,13,0))),0)</f>
        <v>0</v>
      </c>
      <c r="F69" s="169">
        <f>ROUND((E$17-SUM(D$29:D68))*F$9*30/365,2)</f>
        <v>0</v>
      </c>
      <c r="G69" s="269">
        <f t="shared" si="1"/>
        <v>0</v>
      </c>
      <c r="H69" s="269"/>
      <c r="I69" s="124"/>
      <c r="J69" s="124"/>
    </row>
    <row r="70" spans="1:10" hidden="1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0</v>
      </c>
      <c r="E70" s="168">
        <f>IF(B70&lt;=$F$15,(E$17*(VLOOKUP($H$2,Лист2!$A:$N,12,0)-(B70-1)*VLOOKUP($H$2,Лист2!$A:$N,13,0))),0)</f>
        <v>0</v>
      </c>
      <c r="F70" s="169">
        <f>ROUND((E$17-SUM(D$29:D69))*F$9*30/365,2)</f>
        <v>0</v>
      </c>
      <c r="G70" s="269">
        <f t="shared" si="1"/>
        <v>0</v>
      </c>
      <c r="H70" s="269"/>
      <c r="I70" s="124"/>
      <c r="J70" s="124"/>
    </row>
    <row r="71" spans="1:10" hidden="1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0</v>
      </c>
      <c r="E71" s="168">
        <f>IF(B71&lt;=$F$15,(E$17*(VLOOKUP($H$2,Лист2!$A:$N,12,0)-(B71-1)*VLOOKUP($H$2,Лист2!$A:$N,13,0))),0)</f>
        <v>0</v>
      </c>
      <c r="F71" s="169">
        <f>ROUND((E$17-SUM(D$29:D70))*F$9*30/365,2)</f>
        <v>0</v>
      </c>
      <c r="G71" s="269">
        <f t="shared" si="1"/>
        <v>0</v>
      </c>
      <c r="H71" s="269"/>
      <c r="I71" s="124"/>
      <c r="J71" s="124"/>
    </row>
    <row r="72" spans="1:10" hidden="1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0</v>
      </c>
      <c r="E72" s="168">
        <f>IF(B72&lt;=$F$15,(E$17*(VLOOKUP($H$2,Лист2!$A:$N,12,0)-(B72-1)*VLOOKUP($H$2,Лист2!$A:$N,13,0))),0)</f>
        <v>0</v>
      </c>
      <c r="F72" s="169">
        <f>ROUND((E$17-SUM(D$29:D71))*F$9*30/365,2)</f>
        <v>0</v>
      </c>
      <c r="G72" s="269">
        <f t="shared" si="1"/>
        <v>0</v>
      </c>
      <c r="H72" s="269"/>
      <c r="I72" s="124"/>
      <c r="J72" s="124"/>
    </row>
    <row r="73" spans="1:10" hidden="1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0</v>
      </c>
      <c r="E73" s="168">
        <f>IF(B73&lt;=$F$15,(E$17*(VLOOKUP($H$2,Лист2!$A:$N,12,0)-(B73-1)*VLOOKUP($H$2,Лист2!$A:$N,13,0))),0)</f>
        <v>0</v>
      </c>
      <c r="F73" s="169">
        <f>ROUND((E$17-SUM(D$29:D72))*F$9*30/365,2)</f>
        <v>0</v>
      </c>
      <c r="G73" s="269">
        <f t="shared" si="1"/>
        <v>0</v>
      </c>
      <c r="H73" s="269"/>
      <c r="I73" s="124"/>
      <c r="J73" s="124"/>
    </row>
    <row r="74" spans="1:10" hidden="1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0</v>
      </c>
      <c r="E74" s="168">
        <f>IF(B74&lt;=$F$15,(E$17*(VLOOKUP($H$2,Лист2!$A:$N,12,0)-(B74-1)*VLOOKUP($H$2,Лист2!$A:$N,13,0))),0)</f>
        <v>0</v>
      </c>
      <c r="F74" s="169">
        <f>ROUND((E$17-SUM(D$29:D73))*F$9*30/365,2)</f>
        <v>0</v>
      </c>
      <c r="G74" s="269">
        <f t="shared" si="1"/>
        <v>0</v>
      </c>
      <c r="H74" s="269"/>
      <c r="I74" s="124"/>
      <c r="J74" s="124"/>
    </row>
    <row r="75" spans="1:10" hidden="1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0</v>
      </c>
      <c r="E75" s="168">
        <f>IF(B75&lt;=$F$15,(E$17*(VLOOKUP($H$2,Лист2!$A:$N,12,0)-(B75-1)*VLOOKUP($H$2,Лист2!$A:$N,13,0))),0)</f>
        <v>0</v>
      </c>
      <c r="F75" s="169">
        <f>ROUND((E$17-SUM(D$29:D74))*F$9*30/365,2)</f>
        <v>0</v>
      </c>
      <c r="G75" s="269">
        <f t="shared" si="1"/>
        <v>0</v>
      </c>
      <c r="H75" s="269"/>
      <c r="I75" s="124"/>
      <c r="J75" s="124"/>
    </row>
    <row r="76" spans="1:10" ht="13.8" hidden="1" thickBot="1" x14ac:dyDescent="0.3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0</v>
      </c>
      <c r="E76" s="168">
        <f>IF(B76&lt;=$F$15,(E$17*(VLOOKUP($H$2,Лист2!$A:$N,12,0)-(B76-1)*VLOOKUP($H$2,Лист2!$A:$N,13,0))),0)</f>
        <v>0</v>
      </c>
      <c r="F76" s="169">
        <f>ROUND((E$17-SUM(D$29:D75))*F$9*30/365,2)</f>
        <v>0</v>
      </c>
      <c r="G76" s="269">
        <f t="shared" si="1"/>
        <v>0</v>
      </c>
      <c r="H76" s="269"/>
      <c r="I76" s="124"/>
      <c r="J76" s="124"/>
    </row>
    <row r="77" spans="1:10" ht="13.8" hidden="1" thickBot="1" x14ac:dyDescent="0.3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0" ht="13.8" hidden="1" thickBot="1" x14ac:dyDescent="0.3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0" ht="13.8" hidden="1" thickBot="1" x14ac:dyDescent="0.3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0" ht="13.8" hidden="1" thickBot="1" x14ac:dyDescent="0.3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t="13.8" hidden="1" thickBot="1" x14ac:dyDescent="0.3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t="13.8" hidden="1" thickBot="1" x14ac:dyDescent="0.3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t="13.8" hidden="1" thickBot="1" x14ac:dyDescent="0.3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t="13.8" hidden="1" thickBot="1" x14ac:dyDescent="0.3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t="13.8" hidden="1" thickBot="1" x14ac:dyDescent="0.3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t="13.8" hidden="1" thickBot="1" x14ac:dyDescent="0.3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t="13.8" hidden="1" thickBot="1" x14ac:dyDescent="0.3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11530</v>
      </c>
      <c r="E89" s="174">
        <f>SUM(E29:E88)</f>
        <v>9548.0360152280136</v>
      </c>
      <c r="F89" s="174">
        <f>SUM(F29:F88)</f>
        <v>2929.1600000000008</v>
      </c>
      <c r="G89" s="263">
        <f>SUM(G29:H88)</f>
        <v>24007.196015228001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$K$50:$K$53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VLOOKUP('Біг Кеш (ОТП) '!H2,Лист2!A:N,14,FALSE)</f>
        <v>40322</v>
      </c>
      <c r="F2" s="118">
        <f>VLOOKUP(H$2,Лист2!$A:$G,2,0)</f>
        <v>80450</v>
      </c>
      <c r="G2" s="135">
        <f ca="1">TODAY()</f>
        <v>44089</v>
      </c>
      <c r="H2" s="286" t="s">
        <v>74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50000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80450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50000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62150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0.155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0.24299999999999999</v>
      </c>
      <c r="G11" s="273"/>
      <c r="H11" s="273"/>
      <c r="I11" s="3"/>
      <c r="J11" s="53"/>
      <c r="K11" s="132"/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2.75E-2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12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12150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62150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7333.3529782558689</v>
      </c>
      <c r="G18" s="277"/>
      <c r="H18" s="278"/>
      <c r="I18" s="123"/>
      <c r="J18" s="54"/>
      <c r="K18" s="132" t="str">
        <f>Лист2!A10</f>
        <v>Термін, 36 міс. (ПУМБ)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str">
        <f>Лист2!A11</f>
        <v>Термін, 30 міс. (ПУМБ)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38000.273827397192</v>
      </c>
      <c r="G20" s="279"/>
      <c r="H20" s="279"/>
      <c r="I20" s="1"/>
      <c r="J20" s="55"/>
      <c r="K20" s="132" t="str">
        <f>Лист2!A12</f>
        <v>Термін, 24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Лист2!A13</f>
        <v>Термін, 18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88000.273827397192</v>
      </c>
      <c r="G22" s="273"/>
      <c r="H22" s="273"/>
      <c r="I22" s="1"/>
      <c r="J22" s="55"/>
      <c r="K22" s="132" t="str">
        <f>Лист2!A14</f>
        <v>Термін, 12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Лист2!A15</f>
        <v>Термін, 36 міс. (ПУМБ БК)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2.1420452833175667</v>
      </c>
      <c r="G24" s="159"/>
      <c r="H24" s="22"/>
      <c r="I24" s="1"/>
      <c r="J24" s="1"/>
      <c r="K24" s="132" t="str">
        <f>Лист2!A16</f>
        <v>Термін, 30 міс. (ПУМБ БК)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K25" s="132" t="str">
        <f>Лист2!A17</f>
        <v>Термін, 24 міс. (ПУМБ БК)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str">
        <f>Лист2!A18</f>
        <v>Термін, 18 міс. (ПУМБ БК)</v>
      </c>
    </row>
    <row r="27" spans="1:29" ht="31.2" customHeight="1" thickBot="1" x14ac:dyDescent="0.3">
      <c r="A27" s="1"/>
      <c r="B27" s="178" t="s">
        <v>39</v>
      </c>
      <c r="C27" s="178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str">
        <f>Лист2!A19</f>
        <v>Термін, 12 міс. (ПУМБ БК)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-50000</v>
      </c>
      <c r="H28" s="272"/>
      <c r="I28" s="3"/>
      <c r="K28" s="132" t="str">
        <f>Лист2!A20</f>
        <v>Термін, 36 міс. (СФ)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4493.766825972767</v>
      </c>
      <c r="E29" s="166">
        <f>IF(B29&lt;=$F$15,(E$17*(VLOOKUP($H$2,Лист2!$A:$N,12,0)-(B29-1)*VLOOKUP($H$2,Лист2!$A:$N,13,0))),0)</f>
        <v>2047.8161522831015</v>
      </c>
      <c r="F29" s="166">
        <f>ROUND(E$17*F$9*30/365,2)</f>
        <v>791.77</v>
      </c>
      <c r="G29" s="269">
        <f>SUM(D29:F29)</f>
        <v>7333.3529782558689</v>
      </c>
      <c r="H29" s="269"/>
      <c r="I29" s="3"/>
      <c r="K29" s="132" t="str">
        <f>Лист2!A21</f>
        <v>Термін, 24 міс. (СФ)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4613.1668259727667</v>
      </c>
      <c r="E30" s="168">
        <f>IF(B30&lt;=$F$15,(E$17*(VLOOKUP($H$2,Лист2!$A:$N,12,0)-(B30-1)*VLOOKUP($H$2,Лист2!$A:$N,13,0))),0)</f>
        <v>1985.6661522831014</v>
      </c>
      <c r="F30" s="169">
        <f>ROUND((E$17-SUM(D$29:D29))*F$9*30/365,2)</f>
        <v>734.52</v>
      </c>
      <c r="G30" s="269">
        <f t="shared" ref="G30:G88" si="1">SUM(D30:F30)</f>
        <v>7333.3529782558689</v>
      </c>
      <c r="H30" s="269"/>
      <c r="I30" s="3"/>
      <c r="K30" s="132" t="str">
        <f>Лист2!A22</f>
        <v>Термін, 18 міс. (СФ)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4734.0868259727677</v>
      </c>
      <c r="E31" s="168">
        <f>IF(B31&lt;=$F$15,(E$17*(VLOOKUP($H$2,Лист2!$A:$N,12,0)-(B31-1)*VLOOKUP($H$2,Лист2!$A:$N,13,0))),0)</f>
        <v>1923.5161522831013</v>
      </c>
      <c r="F31" s="169">
        <f>ROUND((E$17-SUM(D$29:D30))*F$9*30/365,2)</f>
        <v>675.75</v>
      </c>
      <c r="G31" s="269">
        <f t="shared" si="1"/>
        <v>7333.3529782558689</v>
      </c>
      <c r="H31" s="269"/>
      <c r="I31" s="3"/>
      <c r="K31" s="132" t="str">
        <f>Лист2!A23</f>
        <v>Термін, 12 міс. (СФ)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4856.5468259727677</v>
      </c>
      <c r="E32" s="168">
        <f>IF(B32&lt;=$F$15,(E$17*(VLOOKUP($H$2,Лист2!$A:$N,12,0)-(B32-1)*VLOOKUP($H$2,Лист2!$A:$N,13,0))),0)</f>
        <v>1861.3661522831014</v>
      </c>
      <c r="F32" s="169">
        <f>ROUND((E$17-SUM(D$29:D31))*F$9*30/365,2)</f>
        <v>615.44000000000005</v>
      </c>
      <c r="G32" s="269">
        <f t="shared" si="1"/>
        <v>7333.3529782558689</v>
      </c>
      <c r="H32" s="269"/>
      <c r="I32" s="3"/>
      <c r="K32" s="132" t="str">
        <f>Лист2!A24</f>
        <v>Консолідований Х, 60 міс.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4980.5668259727681</v>
      </c>
      <c r="E33" s="168">
        <f>IF(B33&lt;=$F$15,(E$17*(VLOOKUP($H$2,Лист2!$A:$N,12,0)-(B33-1)*VLOOKUP($H$2,Лист2!$A:$N,13,0))),0)</f>
        <v>1799.2161522831016</v>
      </c>
      <c r="F33" s="169">
        <f>ROUND((E$17-SUM(D$29:D32))*F$9*30/365,2)</f>
        <v>553.57000000000005</v>
      </c>
      <c r="G33" s="269">
        <f t="shared" si="1"/>
        <v>7333.3529782558689</v>
      </c>
      <c r="H33" s="269"/>
      <c r="I33" s="3"/>
      <c r="K33" s="132" t="str">
        <f>Лист2!A25</f>
        <v>Консолідований Х, 48 міс.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5106.1668259727676</v>
      </c>
      <c r="E34" s="168">
        <f>IF(B34&lt;=$F$15,(E$17*(VLOOKUP($H$2,Лист2!$A:$N,12,0)-(B34-1)*VLOOKUP($H$2,Лист2!$A:$N,13,0))),0)</f>
        <v>1737.0661522831015</v>
      </c>
      <c r="F34" s="169">
        <f>ROUND((E$17-SUM(D$29:D33))*F$9*30/365,2)</f>
        <v>490.12</v>
      </c>
      <c r="G34" s="269">
        <f t="shared" si="1"/>
        <v>7333.3529782558689</v>
      </c>
      <c r="H34" s="269"/>
      <c r="I34" s="3"/>
      <c r="K34" s="132" t="str">
        <f>Лист2!A26</f>
        <v>Консолідований Х, 36 міс.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5233.3668259727674</v>
      </c>
      <c r="E35" s="168">
        <f>IF(B35&lt;=$F$15,(E$17*(VLOOKUP($H$2,Лист2!$A:$N,12,0)-(B35-1)*VLOOKUP($H$2,Лист2!$A:$N,13,0))),0)</f>
        <v>1674.9161522831016</v>
      </c>
      <c r="F35" s="169">
        <f>ROUND((E$17-SUM(D$29:D34))*F$9*30/365,2)</f>
        <v>425.07</v>
      </c>
      <c r="G35" s="269">
        <f t="shared" si="1"/>
        <v>7333.3529782558689</v>
      </c>
      <c r="H35" s="269"/>
      <c r="I35" s="3"/>
      <c r="K35" s="132" t="str">
        <f>Лист2!A27</f>
        <v>Консолідований Х, 24 міс.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5362.186825972768</v>
      </c>
      <c r="E36" s="168">
        <f>IF(B36&lt;=$F$15,(E$17*(VLOOKUP($H$2,Лист2!$A:$N,12,0)-(B36-1)*VLOOKUP($H$2,Лист2!$A:$N,13,0))),0)</f>
        <v>1612.7661522831015</v>
      </c>
      <c r="F36" s="169">
        <f>ROUND((E$17-SUM(D$29:D35))*F$9*30/365,2)</f>
        <v>358.4</v>
      </c>
      <c r="G36" s="269">
        <f t="shared" si="1"/>
        <v>7333.3529782558689</v>
      </c>
      <c r="H36" s="269"/>
      <c r="I36" s="3"/>
      <c r="K36" s="132" t="str">
        <f>Лист2!A28</f>
        <v>Консолідований Х, 18 міс.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5492.6468259727671</v>
      </c>
      <c r="E37" s="168">
        <f>IF(B37&lt;=$F$15,(E$17*(VLOOKUP($H$2,Лист2!$A:$N,12,0)-(B37-1)*VLOOKUP($H$2,Лист2!$A:$N,13,0))),0)</f>
        <v>1550.6161522831014</v>
      </c>
      <c r="F37" s="169">
        <f>ROUND((E$17-SUM(D$29:D36))*F$9*30/365,2)</f>
        <v>290.08999999999997</v>
      </c>
      <c r="G37" s="269">
        <f t="shared" si="1"/>
        <v>7333.3529782558689</v>
      </c>
      <c r="H37" s="269"/>
      <c r="I37" s="3"/>
      <c r="K37" s="132" t="str">
        <f>Лист2!A29</f>
        <v>Консолідований Х, 12 міс.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5624.7768259727682</v>
      </c>
      <c r="E38" s="168">
        <f>IF(B38&lt;=$F$15,(E$17*(VLOOKUP($H$2,Лист2!$A:$N,12,0)-(B38-1)*VLOOKUP($H$2,Лист2!$A:$N,13,0))),0)</f>
        <v>1488.4661522831013</v>
      </c>
      <c r="F38" s="169">
        <f>ROUND((E$17-SUM(D$29:D37))*F$9*30/365,2)</f>
        <v>220.11</v>
      </c>
      <c r="G38" s="269">
        <f t="shared" si="1"/>
        <v>7333.3529782558689</v>
      </c>
      <c r="H38" s="269"/>
      <c r="I38" s="3"/>
      <c r="K38" s="132" t="str">
        <f>Лист2!A30</f>
        <v>Для ВАС Х, 48 міс.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5758.5868259727677</v>
      </c>
      <c r="E39" s="168">
        <f>IF(B39&lt;=$F$15,(E$17*(VLOOKUP($H$2,Лист2!$A:$N,12,0)-(B39-1)*VLOOKUP($H$2,Лист2!$A:$N,13,0))),0)</f>
        <v>1426.3161522831012</v>
      </c>
      <c r="F39" s="169">
        <f>ROUND((E$17-SUM(D$29:D38))*F$9*30/365,2)</f>
        <v>148.44999999999999</v>
      </c>
      <c r="G39" s="269">
        <f t="shared" si="1"/>
        <v>7333.3529782558689</v>
      </c>
      <c r="H39" s="269"/>
      <c r="I39" s="3"/>
      <c r="K39" s="132" t="str">
        <f>Лист2!A31</f>
        <v>Для ВАС Х, 36 міс.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5894.1349142995532</v>
      </c>
      <c r="E40" s="168">
        <f>IF(B40&lt;=$F$15,(E$17*(VLOOKUP($H$2,Лист2!$A:$N,12,0)-(B40-1)*VLOOKUP($H$2,Лист2!$A:$N,13,0))),0)</f>
        <v>1364.1661522831016</v>
      </c>
      <c r="F40" s="169">
        <f>ROUND((E$17-SUM(D$29:D39))*F$9*30/365,2)</f>
        <v>75.09</v>
      </c>
      <c r="G40" s="269">
        <f t="shared" si="1"/>
        <v>7333.3910665826552</v>
      </c>
      <c r="H40" s="269"/>
      <c r="I40" s="3"/>
      <c r="K40" s="132" t="str">
        <f>Лист2!A32</f>
        <v>Для ВАС Х, 30 міс.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0</v>
      </c>
      <c r="E41" s="168">
        <f>IF(B41&lt;=$F$15,(E$17*(VLOOKUP($H$2,Лист2!$A:$N,12,0)-(B41-1)*VLOOKUP($H$2,Лист2!$A:$N,13,0))),0)</f>
        <v>0</v>
      </c>
      <c r="F41" s="169">
        <f>ROUND((E$17-SUM(D$29:D40))*F$9*30/365,2)</f>
        <v>0</v>
      </c>
      <c r="G41" s="269">
        <f t="shared" si="1"/>
        <v>0</v>
      </c>
      <c r="H41" s="269"/>
      <c r="I41" s="3"/>
      <c r="K41" s="132" t="str">
        <f>Лист2!A33</f>
        <v>Для ВАС Х, 24 міс.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0</v>
      </c>
      <c r="E42" s="168">
        <f>IF(B42&lt;=$F$15,(E$17*(VLOOKUP($H$2,Лист2!$A:$N,12,0)-(B42-1)*VLOOKUP($H$2,Лист2!$A:$N,13,0))),0)</f>
        <v>0</v>
      </c>
      <c r="F42" s="169">
        <f>ROUND((E$17-SUM(D$29:D41))*F$9*30/365,2)</f>
        <v>0</v>
      </c>
      <c r="G42" s="269">
        <f t="shared" si="1"/>
        <v>0</v>
      </c>
      <c r="H42" s="269"/>
      <c r="I42" s="3"/>
      <c r="K42" s="132" t="str">
        <f>Лист2!A34</f>
        <v>Для ВАС Х, 18 міс.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0</v>
      </c>
      <c r="E43" s="168">
        <f>IF(B43&lt;=$F$15,(E$17*(VLOOKUP($H$2,Лист2!$A:$N,12,0)-(B43-1)*VLOOKUP($H$2,Лист2!$A:$N,13,0))),0)</f>
        <v>0</v>
      </c>
      <c r="F43" s="169">
        <f>ROUND((E$17-SUM(D$29:D42))*F$9*30/365,2)</f>
        <v>0</v>
      </c>
      <c r="G43" s="269">
        <f t="shared" si="1"/>
        <v>0</v>
      </c>
      <c r="H43" s="269"/>
      <c r="I43" s="3"/>
      <c r="K43" s="132" t="str">
        <f>Лист2!A35</f>
        <v>Для ВАС Х, 12 міс.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0</v>
      </c>
      <c r="E44" s="168">
        <f>IF(B44&lt;=$F$15,(E$17*(VLOOKUP($H$2,Лист2!$A:$N,12,0)-(B44-1)*VLOOKUP($H$2,Лист2!$A:$N,13,0))),0)</f>
        <v>0</v>
      </c>
      <c r="F44" s="169">
        <f>ROUND((E$17-SUM(D$29:D43))*F$9*30/365,2)</f>
        <v>0</v>
      </c>
      <c r="G44" s="269">
        <f t="shared" si="1"/>
        <v>0</v>
      </c>
      <c r="H44" s="269"/>
      <c r="I44" s="3"/>
      <c r="K44" s="132" t="str">
        <f>Лист2!A36</f>
        <v>Бюджетний Х, 48 міс.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0</v>
      </c>
      <c r="E45" s="168">
        <f>IF(B45&lt;=$F$15,(E$17*(VLOOKUP($H$2,Лист2!$A:$N,12,0)-(B45-1)*VLOOKUP($H$2,Лист2!$A:$N,13,0))),0)</f>
        <v>0</v>
      </c>
      <c r="F45" s="169">
        <f>ROUND((E$17-SUM(D$29:D44))*F$9*30/365,2)</f>
        <v>0</v>
      </c>
      <c r="G45" s="269">
        <f t="shared" si="1"/>
        <v>0</v>
      </c>
      <c r="H45" s="269"/>
      <c r="I45" s="3"/>
      <c r="K45" s="132" t="str">
        <f>Лист2!A37</f>
        <v>Бюджетний Х, 36 міс.</v>
      </c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0</v>
      </c>
      <c r="E46" s="168">
        <f>IF(B46&lt;=$F$15,(E$17*(VLOOKUP($H$2,Лист2!$A:$N,12,0)-(B46-1)*VLOOKUP($H$2,Лист2!$A:$N,13,0))),0)</f>
        <v>0</v>
      </c>
      <c r="F46" s="169">
        <f>ROUND((E$17-SUM(D$29:D45))*F$9*30/365,2)</f>
        <v>0</v>
      </c>
      <c r="G46" s="269">
        <f t="shared" si="1"/>
        <v>0</v>
      </c>
      <c r="H46" s="269"/>
      <c r="I46" s="3"/>
      <c r="K46" s="132" t="str">
        <f>Лист2!A38</f>
        <v>Бюджетний Х, 30 міс.</v>
      </c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0</v>
      </c>
      <c r="E47" s="168">
        <f>IF(B47&lt;=$F$15,(E$17*(VLOOKUP($H$2,Лист2!$A:$N,12,0)-(B47-1)*VLOOKUP($H$2,Лист2!$A:$N,13,0))),0)</f>
        <v>0</v>
      </c>
      <c r="F47" s="169">
        <f>ROUND((E$17-SUM(D$29:D46))*F$9*30/365,2)</f>
        <v>0</v>
      </c>
      <c r="G47" s="269">
        <f t="shared" si="1"/>
        <v>0</v>
      </c>
      <c r="H47" s="269"/>
      <c r="I47" s="3"/>
      <c r="K47" s="132" t="str">
        <f>Лист2!A39</f>
        <v>Бюджетний Х, 24 міс.</v>
      </c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0</v>
      </c>
      <c r="E48" s="168">
        <f>IF(B48&lt;=$F$15,(E$17*(VLOOKUP($H$2,Лист2!$A:$N,12,0)-(B48-1)*VLOOKUP($H$2,Лист2!$A:$N,13,0))),0)</f>
        <v>0</v>
      </c>
      <c r="F48" s="169">
        <f>ROUND((E$17-SUM(D$29:D47))*F$9*30/365,2)</f>
        <v>0</v>
      </c>
      <c r="G48" s="269">
        <f t="shared" si="1"/>
        <v>0</v>
      </c>
      <c r="H48" s="269"/>
      <c r="I48" s="3"/>
      <c r="K48" s="132" t="str">
        <f>Лист2!A40</f>
        <v>Бюджетний Х, 18 міс.</v>
      </c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0</v>
      </c>
      <c r="E49" s="168">
        <f>IF(B49&lt;=$F$15,(E$17*(VLOOKUP($H$2,Лист2!$A:$N,12,0)-(B49-1)*VLOOKUP($H$2,Лист2!$A:$N,13,0))),0)</f>
        <v>0</v>
      </c>
      <c r="F49" s="169">
        <f>ROUND((E$17-SUM(D$29:D48))*F$9*30/365,2)</f>
        <v>0</v>
      </c>
      <c r="G49" s="269">
        <f t="shared" si="1"/>
        <v>0</v>
      </c>
      <c r="H49" s="269"/>
      <c r="I49" s="3"/>
      <c r="K49" s="132" t="str">
        <f>Лист2!A41</f>
        <v>Бюджетний Х, 12 міс.</v>
      </c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0</v>
      </c>
      <c r="E50" s="168">
        <f>IF(B50&lt;=$F$15,(E$17*(VLOOKUP($H$2,Лист2!$A:$N,12,0)-(B50-1)*VLOOKUP($H$2,Лист2!$A:$N,13,0))),0)</f>
        <v>0</v>
      </c>
      <c r="F50" s="169">
        <f>ROUND((E$17-SUM(D$29:D49))*F$9*30/365,2)</f>
        <v>0</v>
      </c>
      <c r="G50" s="269">
        <f t="shared" si="1"/>
        <v>0</v>
      </c>
      <c r="H50" s="269"/>
      <c r="I50" s="3"/>
      <c r="K50" s="132" t="str">
        <f>Лист2!A42</f>
        <v>Пенсійний Х, 30 міс.</v>
      </c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0</v>
      </c>
      <c r="E51" s="168">
        <f>IF(B51&lt;=$F$15,(E$17*(VLOOKUP($H$2,Лист2!$A:$N,12,0)-(B51-1)*VLOOKUP($H$2,Лист2!$A:$N,13,0))),0)</f>
        <v>0</v>
      </c>
      <c r="F51" s="169">
        <f>ROUND((E$17-SUM(D$29:D50))*F$9*30/365,2)</f>
        <v>0</v>
      </c>
      <c r="G51" s="269">
        <f t="shared" si="1"/>
        <v>0</v>
      </c>
      <c r="H51" s="269"/>
      <c r="I51" s="3"/>
      <c r="K51" s="132" t="str">
        <f>Лист2!A43</f>
        <v>Пенсійний Х, 24 міс.</v>
      </c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0</v>
      </c>
      <c r="E52" s="168">
        <f>IF(B52&lt;=$F$15,(E$17*(VLOOKUP($H$2,Лист2!$A:$N,12,0)-(B52-1)*VLOOKUP($H$2,Лист2!$A:$N,13,0))),0)</f>
        <v>0</v>
      </c>
      <c r="F52" s="169">
        <f>ROUND((E$17-SUM(D$29:D51))*F$9*30/365,2)</f>
        <v>0</v>
      </c>
      <c r="G52" s="269">
        <f t="shared" si="1"/>
        <v>0</v>
      </c>
      <c r="H52" s="269"/>
      <c r="I52" s="3"/>
      <c r="K52" s="132" t="str">
        <f>Лист2!A44</f>
        <v>Пенсійний Х, 18 міс.</v>
      </c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0</v>
      </c>
      <c r="E53" s="168">
        <f>IF(B53&lt;=$F$15,(E$17*(VLOOKUP($H$2,Лист2!$A:$N,12,0)-(B53-1)*VLOOKUP($H$2,Лист2!$A:$N,13,0))),0)</f>
        <v>0</v>
      </c>
      <c r="F53" s="169">
        <f>ROUND((E$17-SUM(D$29:D52))*F$9*30/365,2)</f>
        <v>0</v>
      </c>
      <c r="G53" s="269">
        <f t="shared" si="1"/>
        <v>0</v>
      </c>
      <c r="H53" s="269"/>
      <c r="I53" s="3"/>
      <c r="K53" s="132" t="str">
        <f>Лист2!A45</f>
        <v>Пенсійний Х, 12 міс.</v>
      </c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0</v>
      </c>
      <c r="E54" s="168">
        <f>IF(B54&lt;=$F$15,(E$17*(VLOOKUP($H$2,Лист2!$A:$N,12,0)-(B54-1)*VLOOKUP($H$2,Лист2!$A:$N,13,0))),0)</f>
        <v>0</v>
      </c>
      <c r="F54" s="169">
        <f>ROUND((E$17-SUM(D$29:D53))*F$9*30/365,2)</f>
        <v>0</v>
      </c>
      <c r="G54" s="269">
        <f t="shared" si="1"/>
        <v>0</v>
      </c>
      <c r="H54" s="269"/>
      <c r="I54" s="3"/>
      <c r="K54" s="132" t="str">
        <f>Лист2!A46</f>
        <v>BIG CASH (ОТП), 48 міс.</v>
      </c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0</v>
      </c>
      <c r="E55" s="168">
        <f>IF(B55&lt;=$F$15,(E$17*(VLOOKUP($H$2,Лист2!$A:$N,12,0)-(B55-1)*VLOOKUP($H$2,Лист2!$A:$N,13,0))),0)</f>
        <v>0</v>
      </c>
      <c r="F55" s="169">
        <f>ROUND((E$17-SUM(D$29:D54))*F$9*30/365,2)</f>
        <v>0</v>
      </c>
      <c r="G55" s="269">
        <f t="shared" si="1"/>
        <v>0</v>
      </c>
      <c r="H55" s="269"/>
      <c r="I55" s="3"/>
      <c r="K55" s="132" t="str">
        <f>Лист2!A47</f>
        <v>BIG CASH (ОТП), 36 міс.</v>
      </c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0</v>
      </c>
      <c r="E56" s="168">
        <f>IF(B56&lt;=$F$15,(E$17*(VLOOKUP($H$2,Лист2!$A:$N,12,0)-(B56-1)*VLOOKUP($H$2,Лист2!$A:$N,13,0))),0)</f>
        <v>0</v>
      </c>
      <c r="F56" s="169">
        <f>ROUND((E$17-SUM(D$29:D55))*F$9*30/365,2)</f>
        <v>0</v>
      </c>
      <c r="G56" s="269">
        <f t="shared" si="1"/>
        <v>0</v>
      </c>
      <c r="H56" s="269"/>
      <c r="I56" s="3"/>
      <c r="K56" s="132" t="str">
        <f>Лист2!A48</f>
        <v>BIG CASH (ОТП), 30 міс.</v>
      </c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0</v>
      </c>
      <c r="E57" s="168">
        <f>IF(B57&lt;=$F$15,(E$17*(VLOOKUP($H$2,Лист2!$A:$N,12,0)-(B57-1)*VLOOKUP($H$2,Лист2!$A:$N,13,0))),0)</f>
        <v>0</v>
      </c>
      <c r="F57" s="169">
        <f>ROUND((E$17-SUM(D$29:D56))*F$9*30/365,2)</f>
        <v>0</v>
      </c>
      <c r="G57" s="269">
        <f t="shared" si="1"/>
        <v>0</v>
      </c>
      <c r="H57" s="269"/>
      <c r="I57" s="3"/>
      <c r="K57" s="132" t="str">
        <f>Лист2!A49</f>
        <v>BIG CASH (ОТП), 24 міс.</v>
      </c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0</v>
      </c>
      <c r="E58" s="168">
        <f>IF(B58&lt;=$F$15,(E$17*(VLOOKUP($H$2,Лист2!$A:$N,12,0)-(B58-1)*VLOOKUP($H$2,Лист2!$A:$N,13,0))),0)</f>
        <v>0</v>
      </c>
      <c r="F58" s="169">
        <f>ROUND((E$17-SUM(D$29:D57))*F$9*30/365,2)</f>
        <v>0</v>
      </c>
      <c r="G58" s="269">
        <f t="shared" si="1"/>
        <v>0</v>
      </c>
      <c r="H58" s="269"/>
      <c r="I58" s="124"/>
      <c r="J58" s="124"/>
      <c r="K58" s="132" t="str">
        <f>Лист2!A50</f>
        <v>BIG CASH (ОТП), 18 міс.</v>
      </c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0</v>
      </c>
      <c r="E59" s="168">
        <f>IF(B59&lt;=$F$15,(E$17*(VLOOKUP($H$2,Лист2!$A:$N,12,0)-(B59-1)*VLOOKUP($H$2,Лист2!$A:$N,13,0))),0)</f>
        <v>0</v>
      </c>
      <c r="F59" s="169">
        <f>ROUND((E$17-SUM(D$29:D58))*F$9*30/365,2)</f>
        <v>0</v>
      </c>
      <c r="G59" s="269">
        <f t="shared" si="1"/>
        <v>0</v>
      </c>
      <c r="H59" s="269"/>
      <c r="I59" s="124"/>
      <c r="J59" s="124"/>
      <c r="K59" s="132" t="str">
        <f>Лист2!A51</f>
        <v>BIG CASH (ОТП), 12 міс.</v>
      </c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0</v>
      </c>
      <c r="E60" s="168">
        <f>IF(B60&lt;=$F$15,(E$17*(VLOOKUP($H$2,Лист2!$A:$N,12,0)-(B60-1)*VLOOKUP($H$2,Лист2!$A:$N,13,0))),0)</f>
        <v>0</v>
      </c>
      <c r="F60" s="169">
        <f>ROUND((E$17-SUM(D$29:D59))*F$9*30/365,2)</f>
        <v>0</v>
      </c>
      <c r="G60" s="269">
        <f t="shared" si="1"/>
        <v>0</v>
      </c>
      <c r="H60" s="269"/>
      <c r="I60" s="124"/>
      <c r="J60" s="124"/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0</v>
      </c>
      <c r="E61" s="168">
        <f>IF(B61&lt;=$F$15,(E$17*(VLOOKUP($H$2,Лист2!$A:$N,12,0)-(B61-1)*VLOOKUP($H$2,Лист2!$A:$N,13,0))),0)</f>
        <v>0</v>
      </c>
      <c r="F61" s="169">
        <f>ROUND((E$17-SUM(D$29:D60))*F$9*30/365,2)</f>
        <v>0</v>
      </c>
      <c r="G61" s="269">
        <f t="shared" si="1"/>
        <v>0</v>
      </c>
      <c r="H61" s="269"/>
      <c r="I61" s="124"/>
      <c r="J61" s="124"/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0</v>
      </c>
      <c r="E62" s="168">
        <f>IF(B62&lt;=$F$15,(E$17*(VLOOKUP($H$2,Лист2!$A:$N,12,0)-(B62-1)*VLOOKUP($H$2,Лист2!$A:$N,13,0))),0)</f>
        <v>0</v>
      </c>
      <c r="F62" s="169">
        <f>ROUND((E$17-SUM(D$29:D61))*F$9*30/365,2)</f>
        <v>0</v>
      </c>
      <c r="G62" s="269">
        <f t="shared" si="1"/>
        <v>0</v>
      </c>
      <c r="H62" s="269"/>
      <c r="I62" s="124"/>
      <c r="J62" s="124"/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0</v>
      </c>
      <c r="E63" s="168">
        <f>IF(B63&lt;=$F$15,(E$17*(VLOOKUP($H$2,Лист2!$A:$N,12,0)-(B63-1)*VLOOKUP($H$2,Лист2!$A:$N,13,0))),0)</f>
        <v>0</v>
      </c>
      <c r="F63" s="169">
        <f>ROUND((E$17-SUM(D$29:D62))*F$9*30/365,2)</f>
        <v>0</v>
      </c>
      <c r="G63" s="269">
        <f t="shared" si="1"/>
        <v>0</v>
      </c>
      <c r="H63" s="269"/>
      <c r="I63" s="124"/>
      <c r="J63" s="124"/>
    </row>
    <row r="64" spans="1:11" x14ac:dyDescent="0.25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0</v>
      </c>
      <c r="E64" s="168">
        <f>IF(B64&lt;=$F$15,(E$17*(VLOOKUP($H$2,Лист2!$A:$N,12,0)-(B64-1)*VLOOKUP($H$2,Лист2!$A:$N,13,0))),0)</f>
        <v>0</v>
      </c>
      <c r="F64" s="169">
        <f>ROUND((E$17-SUM(D$29:D63))*F$9*30/365,2)</f>
        <v>0</v>
      </c>
      <c r="G64" s="269">
        <f t="shared" si="1"/>
        <v>0</v>
      </c>
      <c r="H64" s="269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0</v>
      </c>
      <c r="E65" s="168">
        <f>IF(B65&lt;=$F$15,(E$17*(VLOOKUP($H$2,Лист2!$A:$N,12,0)-(B65-1)*VLOOKUP($H$2,Лист2!$A:$N,13,0))),0)</f>
        <v>0</v>
      </c>
      <c r="F65" s="169">
        <f>ROUND((E$17-SUM(D$29:D64))*F$9*30/365,2)</f>
        <v>0</v>
      </c>
      <c r="G65" s="269">
        <f t="shared" si="1"/>
        <v>0</v>
      </c>
      <c r="H65" s="269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0</v>
      </c>
      <c r="E66" s="168">
        <f>IF(B66&lt;=$F$15,(E$17*(VLOOKUP($H$2,Лист2!$A:$N,12,0)-(B66-1)*VLOOKUP($H$2,Лист2!$A:$N,13,0))),0)</f>
        <v>0</v>
      </c>
      <c r="F66" s="169">
        <f>ROUND((E$17-SUM(D$29:D65))*F$9*30/365,2)</f>
        <v>0</v>
      </c>
      <c r="G66" s="269">
        <f t="shared" si="1"/>
        <v>0</v>
      </c>
      <c r="H66" s="269"/>
      <c r="I66" s="124"/>
      <c r="J66" s="124"/>
    </row>
    <row r="67" spans="1:10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0</v>
      </c>
      <c r="E67" s="168">
        <f>IF(B67&lt;=$F$15,(E$17*(VLOOKUP($H$2,Лист2!$A:$N,12,0)-(B67-1)*VLOOKUP($H$2,Лист2!$A:$N,13,0))),0)</f>
        <v>0</v>
      </c>
      <c r="F67" s="169">
        <f>ROUND((E$17-SUM(D$29:D66))*F$9*30/365,2)</f>
        <v>0</v>
      </c>
      <c r="G67" s="269">
        <f t="shared" si="1"/>
        <v>0</v>
      </c>
      <c r="H67" s="269"/>
      <c r="I67" s="124"/>
      <c r="J67" s="124"/>
    </row>
    <row r="68" spans="1:10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0</v>
      </c>
      <c r="E68" s="168">
        <f>IF(B68&lt;=$F$15,(E$17*(VLOOKUP($H$2,Лист2!$A:$N,12,0)-(B68-1)*VLOOKUP($H$2,Лист2!$A:$N,13,0))),0)</f>
        <v>0</v>
      </c>
      <c r="F68" s="169">
        <f>ROUND((E$17-SUM(D$29:D67))*F$9*30/365,2)</f>
        <v>0</v>
      </c>
      <c r="G68" s="269">
        <f t="shared" si="1"/>
        <v>0</v>
      </c>
      <c r="H68" s="269"/>
      <c r="I68" s="124"/>
      <c r="J68" s="124"/>
    </row>
    <row r="69" spans="1:10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0</v>
      </c>
      <c r="E69" s="168">
        <f>IF(B69&lt;=$F$15,(E$17*(VLOOKUP($H$2,Лист2!$A:$N,12,0)-(B69-1)*VLOOKUP($H$2,Лист2!$A:$N,13,0))),0)</f>
        <v>0</v>
      </c>
      <c r="F69" s="169">
        <f>ROUND((E$17-SUM(D$29:D68))*F$9*30/365,2)</f>
        <v>0</v>
      </c>
      <c r="G69" s="269">
        <f t="shared" si="1"/>
        <v>0</v>
      </c>
      <c r="H69" s="269"/>
      <c r="I69" s="124"/>
      <c r="J69" s="124"/>
    </row>
    <row r="70" spans="1:10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0</v>
      </c>
      <c r="E70" s="168">
        <f>IF(B70&lt;=$F$15,(E$17*(VLOOKUP($H$2,Лист2!$A:$N,12,0)-(B70-1)*VLOOKUP($H$2,Лист2!$A:$N,13,0))),0)</f>
        <v>0</v>
      </c>
      <c r="F70" s="169">
        <f>ROUND((E$17-SUM(D$29:D69))*F$9*30/365,2)</f>
        <v>0</v>
      </c>
      <c r="G70" s="269">
        <f t="shared" si="1"/>
        <v>0</v>
      </c>
      <c r="H70" s="269"/>
      <c r="I70" s="124"/>
      <c r="J70" s="124"/>
    </row>
    <row r="71" spans="1:10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0</v>
      </c>
      <c r="E71" s="168">
        <f>IF(B71&lt;=$F$15,(E$17*(VLOOKUP($H$2,Лист2!$A:$N,12,0)-(B71-1)*VLOOKUP($H$2,Лист2!$A:$N,13,0))),0)</f>
        <v>0</v>
      </c>
      <c r="F71" s="169">
        <f>ROUND((E$17-SUM(D$29:D70))*F$9*30/365,2)</f>
        <v>0</v>
      </c>
      <c r="G71" s="269">
        <f t="shared" si="1"/>
        <v>0</v>
      </c>
      <c r="H71" s="269"/>
      <c r="I71" s="124"/>
      <c r="J71" s="124"/>
    </row>
    <row r="72" spans="1:10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0</v>
      </c>
      <c r="E72" s="168">
        <f>IF(B72&lt;=$F$15,(E$17*(VLOOKUP($H$2,Лист2!$A:$N,12,0)-(B72-1)*VLOOKUP($H$2,Лист2!$A:$N,13,0))),0)</f>
        <v>0</v>
      </c>
      <c r="F72" s="169">
        <f>ROUND((E$17-SUM(D$29:D71))*F$9*30/365,2)</f>
        <v>0</v>
      </c>
      <c r="G72" s="269">
        <f t="shared" si="1"/>
        <v>0</v>
      </c>
      <c r="H72" s="269"/>
      <c r="I72" s="124"/>
      <c r="J72" s="124"/>
    </row>
    <row r="73" spans="1:10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0</v>
      </c>
      <c r="E73" s="168">
        <f>IF(B73&lt;=$F$15,(E$17*(VLOOKUP($H$2,Лист2!$A:$N,12,0)-(B73-1)*VLOOKUP($H$2,Лист2!$A:$N,13,0))),0)</f>
        <v>0</v>
      </c>
      <c r="F73" s="169">
        <f>ROUND((E$17-SUM(D$29:D72))*F$9*30/365,2)</f>
        <v>0</v>
      </c>
      <c r="G73" s="269">
        <f t="shared" si="1"/>
        <v>0</v>
      </c>
      <c r="H73" s="269"/>
      <c r="I73" s="124"/>
      <c r="J73" s="124"/>
    </row>
    <row r="74" spans="1:10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0</v>
      </c>
      <c r="E74" s="168">
        <f>IF(B74&lt;=$F$15,(E$17*(VLOOKUP($H$2,Лист2!$A:$N,12,0)-(B74-1)*VLOOKUP($H$2,Лист2!$A:$N,13,0))),0)</f>
        <v>0</v>
      </c>
      <c r="F74" s="169">
        <f>ROUND((E$17-SUM(D$29:D73))*F$9*30/365,2)</f>
        <v>0</v>
      </c>
      <c r="G74" s="269">
        <f t="shared" si="1"/>
        <v>0</v>
      </c>
      <c r="H74" s="269"/>
      <c r="I74" s="124"/>
      <c r="J74" s="124"/>
    </row>
    <row r="75" spans="1:10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0</v>
      </c>
      <c r="E75" s="168">
        <f>IF(B75&lt;=$F$15,(E$17*(VLOOKUP($H$2,Лист2!$A:$N,12,0)-(B75-1)*VLOOKUP($H$2,Лист2!$A:$N,13,0))),0)</f>
        <v>0</v>
      </c>
      <c r="F75" s="169">
        <f>ROUND((E$17-SUM(D$29:D74))*F$9*30/365,2)</f>
        <v>0</v>
      </c>
      <c r="G75" s="269">
        <f t="shared" si="1"/>
        <v>0</v>
      </c>
      <c r="H75" s="269"/>
      <c r="I75" s="124"/>
      <c r="J75" s="124"/>
    </row>
    <row r="76" spans="1:10" ht="13.8" thickBot="1" x14ac:dyDescent="0.3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0</v>
      </c>
      <c r="E76" s="168">
        <f>IF(B76&lt;=$F$15,(E$17*(VLOOKUP($H$2,Лист2!$A:$N,12,0)-(B76-1)*VLOOKUP($H$2,Лист2!$A:$N,13,0))),0)</f>
        <v>0</v>
      </c>
      <c r="F76" s="169">
        <f>ROUND((E$17-SUM(D$29:D75))*F$9*30/365,2)</f>
        <v>0</v>
      </c>
      <c r="G76" s="269">
        <f t="shared" si="1"/>
        <v>0</v>
      </c>
      <c r="H76" s="269"/>
      <c r="I76" s="124"/>
      <c r="J76" s="124"/>
    </row>
    <row r="77" spans="1:10" ht="13.8" hidden="1" thickBot="1" x14ac:dyDescent="0.3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0" ht="13.8" hidden="1" thickBot="1" x14ac:dyDescent="0.3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0" ht="13.8" hidden="1" thickBot="1" x14ac:dyDescent="0.3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0" ht="13.8" hidden="1" thickBot="1" x14ac:dyDescent="0.3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t="13.8" hidden="1" thickBot="1" x14ac:dyDescent="0.3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t="13.8" hidden="1" thickBot="1" x14ac:dyDescent="0.3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t="13.8" hidden="1" thickBot="1" x14ac:dyDescent="0.3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t="13.8" hidden="1" thickBot="1" x14ac:dyDescent="0.3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t="13.8" hidden="1" thickBot="1" x14ac:dyDescent="0.3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t="13.8" hidden="1" thickBot="1" x14ac:dyDescent="0.3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t="13.8" hidden="1" thickBot="1" x14ac:dyDescent="0.3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62150</v>
      </c>
      <c r="E89" s="174">
        <f>SUM(E29:E88)</f>
        <v>20471.893827397216</v>
      </c>
      <c r="F89" s="174">
        <f>SUM(F29:F88)</f>
        <v>5378.3799999999992</v>
      </c>
      <c r="G89" s="263">
        <f>SUM(G29:H88)</f>
        <v>88000.273827397192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$K$54:$K$59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6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285" t="s">
        <v>40</v>
      </c>
      <c r="I1" s="285"/>
    </row>
    <row r="2" spans="1:29" s="43" customFormat="1" ht="12.75" customHeight="1" x14ac:dyDescent="0.25">
      <c r="A2" s="29"/>
      <c r="B2" s="117"/>
      <c r="C2" s="117"/>
      <c r="D2" s="117"/>
      <c r="E2" s="127">
        <f>VLOOKUP('Біг Кеш Х2 (ОТП)'!H2,Лист2!A:N,14,FALSE)</f>
        <v>43478</v>
      </c>
      <c r="F2" s="118">
        <f>VLOOKUP(H$2,Лист2!$A:$G,2,0)</f>
        <v>130434</v>
      </c>
      <c r="G2" s="135">
        <f ca="1">TODAY()</f>
        <v>44089</v>
      </c>
      <c r="H2" s="286" t="s">
        <v>122</v>
      </c>
      <c r="I2" s="287"/>
      <c r="J2" s="52"/>
      <c r="M2" s="173"/>
      <c r="N2" s="173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8">
        <f>IF(F5&lt;E2,"x",IF(F5&gt;F2,"y",F5))</f>
        <v>130434</v>
      </c>
      <c r="F3" s="288" t="str">
        <f>IF(E3="x","Збільшіть суму",IF(E3="y","Зменшіть суму",""))</f>
        <v/>
      </c>
      <c r="G3" s="67">
        <f>Назви!B33</f>
        <v>30.4</v>
      </c>
      <c r="H3" s="290" t="str">
        <f>VLOOKUP(H$2,Лист2!$A:$G,7,0)</f>
        <v>max. 130434 грн.</v>
      </c>
      <c r="I3" s="291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289"/>
      <c r="G4" s="44"/>
      <c r="H4" s="160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292" t="s">
        <v>42</v>
      </c>
      <c r="C5" s="293"/>
      <c r="D5" s="293"/>
      <c r="E5" s="294"/>
      <c r="F5" s="175">
        <v>130434</v>
      </c>
      <c r="G5" s="176" t="s">
        <v>23</v>
      </c>
      <c r="H5" s="177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266" t="s">
        <v>41</v>
      </c>
      <c r="C7" s="267"/>
      <c r="D7" s="267"/>
      <c r="E7" s="268"/>
      <c r="F7" s="17">
        <f>D89</f>
        <v>149999.1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266" t="str">
        <f>Назви!A3</f>
        <v>Процентна ставка, % річних</v>
      </c>
      <c r="C9" s="267">
        <f>Назви!B3</f>
        <v>0</v>
      </c>
      <c r="D9" s="267">
        <f>Назви!C3</f>
        <v>0</v>
      </c>
      <c r="E9" s="268">
        <f>Назви!D3</f>
        <v>0</v>
      </c>
      <c r="F9" s="39">
        <f>VLOOKUP(H$2,Лист2!$A:$G,4,0)</f>
        <v>0.15</v>
      </c>
      <c r="G9" s="273"/>
      <c r="H9" s="2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266" t="str">
        <f>Назви!A5</f>
        <v>Разовий страховий тариф, %</v>
      </c>
      <c r="C11" s="267">
        <f>Назви!B5</f>
        <v>0</v>
      </c>
      <c r="D11" s="267">
        <f>Назви!C5</f>
        <v>0</v>
      </c>
      <c r="E11" s="268">
        <f>Назви!D5</f>
        <v>0</v>
      </c>
      <c r="F11" s="39">
        <f>VLOOKUP(H$2,Лист2!$A:$G,5,0)</f>
        <v>0.15</v>
      </c>
      <c r="G11" s="273"/>
      <c r="H11" s="273"/>
      <c r="I11" s="3"/>
      <c r="J11" s="53"/>
      <c r="K11" s="132"/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2" t="str">
        <f>Лист2!A4</f>
        <v>Термін, 48 міс. (АБ)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266" t="str">
        <f>Назви!A7</f>
        <v xml:space="preserve">Щомісячна плата за обслуговування кредитної заборгованості, % </v>
      </c>
      <c r="C13" s="267">
        <f>Назви!B7</f>
        <v>0</v>
      </c>
      <c r="D13" s="267">
        <f>Назви!C7</f>
        <v>0</v>
      </c>
      <c r="E13" s="268">
        <f>Назви!D7</f>
        <v>0</v>
      </c>
      <c r="F13" s="39">
        <f>VLOOKUP(H$2,Лист2!$A:$G,6,0)</f>
        <v>3.5000000000000003E-2</v>
      </c>
      <c r="G13" s="273"/>
      <c r="H13" s="273"/>
      <c r="I13" s="3"/>
      <c r="J13" s="53"/>
      <c r="K13" s="132" t="str">
        <f>Лист2!A5</f>
        <v>Термін, 36 міс. (АБ)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2" t="str">
        <f>Лист2!A6</f>
        <v>Термін, 30 міс. (АБ)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266" t="str">
        <f>Назви!A9</f>
        <v>Термін кредитування (міс.)</v>
      </c>
      <c r="C15" s="267">
        <f>Назви!B9</f>
        <v>0</v>
      </c>
      <c r="D15" s="267">
        <f>Назви!C9</f>
        <v>0</v>
      </c>
      <c r="E15" s="268">
        <f>Назви!D9</f>
        <v>0</v>
      </c>
      <c r="F15" s="63">
        <f>VLOOKUP(H$2,Лист2!$A:$G,3,0)</f>
        <v>48</v>
      </c>
      <c r="G15" s="273"/>
      <c r="H15" s="273"/>
      <c r="I15" s="3"/>
      <c r="J15" s="53"/>
      <c r="K15" s="132" t="str">
        <f>Лист2!A7</f>
        <v>Термін, 24 міс. (АБ)</v>
      </c>
    </row>
    <row r="16" spans="1:29" s="15" customFormat="1" ht="7.8" customHeight="1" x14ac:dyDescent="0.25">
      <c r="A16" s="6"/>
      <c r="B16" s="13"/>
      <c r="C16" s="58"/>
      <c r="D16" s="110"/>
      <c r="E16" s="133">
        <f>F5*F11</f>
        <v>19565.099999999999</v>
      </c>
      <c r="F16" s="117"/>
      <c r="G16" s="112"/>
      <c r="H16" s="14"/>
      <c r="I16" s="1"/>
      <c r="J16" s="54"/>
      <c r="K16" s="132" t="str">
        <f>Лист2!A8</f>
        <v>Термін, 18 міс. (АБ)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4">
        <f>E16+E3</f>
        <v>149999.1</v>
      </c>
      <c r="F17" s="117"/>
      <c r="G17" s="112"/>
      <c r="H17" s="16"/>
      <c r="I17" s="1"/>
      <c r="J17" s="116"/>
      <c r="K17" s="132" t="str">
        <f>Лист2!A9</f>
        <v>Термін, 12 міс. (АБ)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274" t="str">
        <f>Назви!A12</f>
        <v>Орієнтовний платіж, грн.</v>
      </c>
      <c r="C18" s="275">
        <f>Назви!B12</f>
        <v>0</v>
      </c>
      <c r="D18" s="275">
        <f>Назви!C12</f>
        <v>0</v>
      </c>
      <c r="E18" s="276">
        <f>Назви!D12</f>
        <v>0</v>
      </c>
      <c r="F18" s="17">
        <f>PMT(F9/12,F15,-E17)+F13*E17</f>
        <v>9424.5556922979977</v>
      </c>
      <c r="G18" s="277"/>
      <c r="H18" s="278"/>
      <c r="I18" s="123"/>
      <c r="J18" s="54"/>
      <c r="K18" s="132" t="str">
        <f>Лист2!A10</f>
        <v>Термін, 36 міс. (ПУМБ)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2" t="str">
        <f>Лист2!A11</f>
        <v>Термін, 30 міс. (ПУМБ)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274" t="str">
        <f>Назви!A14</f>
        <v>Орієнтовні загальні витрати за кредитом, грн.</v>
      </c>
      <c r="C20" s="275">
        <f>Назви!B14</f>
        <v>0</v>
      </c>
      <c r="D20" s="275">
        <f>Назви!C14</f>
        <v>0</v>
      </c>
      <c r="E20" s="276">
        <f>Назви!D14</f>
        <v>0</v>
      </c>
      <c r="F20" s="17">
        <f>G89-E3</f>
        <v>320931.12799999979</v>
      </c>
      <c r="G20" s="279"/>
      <c r="H20" s="279"/>
      <c r="I20" s="1"/>
      <c r="J20" s="55"/>
      <c r="K20" s="132" t="str">
        <f>Лист2!A12</f>
        <v>Термін, 24 міс. (ПУМБ)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2" t="str">
        <f>Лист2!A13</f>
        <v>Термін, 18 міс. (ПУМБ)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274" t="str">
        <f>Назви!A16</f>
        <v>Орієнтовна загальна вартість кредиту, грн.</v>
      </c>
      <c r="C22" s="275">
        <f>Назви!B16</f>
        <v>0</v>
      </c>
      <c r="D22" s="275">
        <f>Назви!C16</f>
        <v>0</v>
      </c>
      <c r="E22" s="276">
        <f>Назви!D16</f>
        <v>0</v>
      </c>
      <c r="F22" s="17">
        <f>E3+F20</f>
        <v>451365.12799999979</v>
      </c>
      <c r="G22" s="273"/>
      <c r="H22" s="273"/>
      <c r="I22" s="1"/>
      <c r="J22" s="55"/>
      <c r="K22" s="132" t="str">
        <f>Лист2!A14</f>
        <v>Термін, 12 міс. (ПУМБ)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2" t="str">
        <f>Лист2!A15</f>
        <v>Термін, 36 міс. (ПУМБ БК)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274" t="str">
        <f>Назви!A18</f>
        <v>Орієнтовна реальна річна процентна ставка, %</v>
      </c>
      <c r="C24" s="275"/>
      <c r="D24" s="275"/>
      <c r="E24" s="276"/>
      <c r="F24" s="39">
        <f ca="1">XIRR(G28:G88,C28:C88)</f>
        <v>1.2372636914253237</v>
      </c>
      <c r="G24" s="159"/>
      <c r="H24" s="22"/>
      <c r="I24" s="1"/>
      <c r="J24" s="1"/>
      <c r="K24" s="132" t="str">
        <f>Лист2!A16</f>
        <v>Термін, 30 міс. (ПУМБ БК)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K25" s="132" t="str">
        <f>Лист2!A17</f>
        <v>Термін, 24 міс. (ПУМБ БК)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280" t="str">
        <f>Назви!A27</f>
        <v>Орієнтовний порядок повернення кредиту</v>
      </c>
      <c r="C26" s="281"/>
      <c r="D26" s="281"/>
      <c r="E26" s="281"/>
      <c r="F26" s="281"/>
      <c r="G26" s="281"/>
      <c r="H26" s="282"/>
      <c r="I26" s="3"/>
      <c r="K26" s="132" t="str">
        <f>Лист2!A18</f>
        <v>Термін, 18 міс. (ПУМБ БК)</v>
      </c>
    </row>
    <row r="27" spans="1:29" ht="31.2" customHeight="1" thickBot="1" x14ac:dyDescent="0.3">
      <c r="A27" s="1"/>
      <c r="B27" s="178" t="s">
        <v>39</v>
      </c>
      <c r="C27" s="178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283" t="str">
        <f>Назви!F28</f>
        <v>Сума платежу за розрахунковий період, грн.</v>
      </c>
      <c r="H27" s="284"/>
      <c r="I27" s="3"/>
      <c r="K27" s="132" t="str">
        <f>Лист2!A19</f>
        <v>Термін, 12 міс. (ПУМБ БК)</v>
      </c>
    </row>
    <row r="28" spans="1:29" ht="12.6" hidden="1" customHeight="1" thickBot="1" x14ac:dyDescent="0.3">
      <c r="A28" s="1"/>
      <c r="B28" s="107">
        <v>0</v>
      </c>
      <c r="C28" s="158">
        <f ca="1">TODAY()</f>
        <v>44089</v>
      </c>
      <c r="D28" s="108"/>
      <c r="E28" s="109"/>
      <c r="F28" s="108"/>
      <c r="G28" s="271">
        <f>-1*E3</f>
        <v>-130434</v>
      </c>
      <c r="H28" s="272"/>
      <c r="I28" s="3"/>
      <c r="K28" s="132" t="str">
        <f>Лист2!A20</f>
        <v>Термін, 36 міс. (СФ)</v>
      </c>
    </row>
    <row r="29" spans="1:29" x14ac:dyDescent="0.25">
      <c r="A29" s="1">
        <v>1</v>
      </c>
      <c r="B29" s="120">
        <v>1</v>
      </c>
      <c r="C29" s="126">
        <f ca="1">DATE(YEAR(C28),MONTH(C28)+1,DAY(C28))</f>
        <v>44119</v>
      </c>
      <c r="D29" s="165">
        <f>IF(B29&lt;$F$15,$F$18-E29-F29,IF(B29=$F$15,$E$17-SUM($D$28:D28),0))</f>
        <v>2325.2871922979966</v>
      </c>
      <c r="E29" s="166">
        <f>IF(B29&lt;=$F$15,(E$17*(VLOOKUP($H$2,Лист2!$A:$N,12,0)-(B29-1)*VLOOKUP($H$2,Лист2!$A:$N,13,0))),0)</f>
        <v>5249.9685000000009</v>
      </c>
      <c r="F29" s="166">
        <f>ROUND(E$17*F$9*30/365,2)</f>
        <v>1849.3</v>
      </c>
      <c r="G29" s="269">
        <f>SUM(D29:F29)</f>
        <v>9424.5556922979977</v>
      </c>
      <c r="H29" s="269"/>
      <c r="I29" s="3"/>
      <c r="K29" s="132" t="str">
        <f>Лист2!A21</f>
        <v>Термін, 24 міс. (СФ)</v>
      </c>
    </row>
    <row r="30" spans="1:29" x14ac:dyDescent="0.25">
      <c r="A30" s="1">
        <v>2</v>
      </c>
      <c r="B30" s="119">
        <v>2</v>
      </c>
      <c r="C30" s="122">
        <f t="shared" ref="C30:C88" ca="1" si="0">DATE(YEAR(C29),MONTH(C29)+1,DAY(C29))</f>
        <v>44150</v>
      </c>
      <c r="D30" s="167">
        <f>IF(B30&lt;$F$15,$F$18-E30-F30,IF(B30=$F$15,$E$17-SUM($D$28:D29),0))</f>
        <v>2353.9471922979965</v>
      </c>
      <c r="E30" s="168">
        <f>IF(B30&lt;=$F$15,(E$17*(VLOOKUP($H$2,Лист2!$A:$N,12,0)-(B30-1)*VLOOKUP($H$2,Лист2!$A:$N,13,0))),0)</f>
        <v>5249.9685000000009</v>
      </c>
      <c r="F30" s="169">
        <f>ROUND((E$17-SUM(D$29:D29))*F$9*30/365,2)</f>
        <v>1820.64</v>
      </c>
      <c r="G30" s="269">
        <f t="shared" ref="G30:G88" si="1">SUM(D30:F30)</f>
        <v>9424.5556922979977</v>
      </c>
      <c r="H30" s="269"/>
      <c r="I30" s="3"/>
      <c r="K30" s="132" t="str">
        <f>Лист2!A22</f>
        <v>Термін, 18 міс. (СФ)</v>
      </c>
    </row>
    <row r="31" spans="1:29" x14ac:dyDescent="0.25">
      <c r="A31" s="1">
        <v>3</v>
      </c>
      <c r="B31" s="119">
        <v>3</v>
      </c>
      <c r="C31" s="122">
        <f t="shared" ca="1" si="0"/>
        <v>44180</v>
      </c>
      <c r="D31" s="167">
        <f>IF(B31&lt;$F$15,$F$18-E31-F31,IF(B31=$F$15,$E$17-SUM($D$28:D30),0))</f>
        <v>2382.9771922979971</v>
      </c>
      <c r="E31" s="168">
        <f>IF(B31&lt;=$F$15,(E$17*(VLOOKUP($H$2,Лист2!$A:$N,12,0)-(B31-1)*VLOOKUP($H$2,Лист2!$A:$N,13,0))),0)</f>
        <v>5249.9685000000009</v>
      </c>
      <c r="F31" s="169">
        <f>ROUND((E$17-SUM(D$29:D30))*F$9*30/365,2)</f>
        <v>1791.61</v>
      </c>
      <c r="G31" s="269">
        <f t="shared" si="1"/>
        <v>9424.5556922979977</v>
      </c>
      <c r="H31" s="269"/>
      <c r="I31" s="3"/>
      <c r="K31" s="132" t="str">
        <f>Лист2!A23</f>
        <v>Термін, 12 міс. (СФ)</v>
      </c>
    </row>
    <row r="32" spans="1:29" x14ac:dyDescent="0.25">
      <c r="A32" s="1">
        <v>4</v>
      </c>
      <c r="B32" s="119">
        <v>4</v>
      </c>
      <c r="C32" s="122">
        <f t="shared" ca="1" si="0"/>
        <v>44211</v>
      </c>
      <c r="D32" s="167">
        <f>IF(B32&lt;$F$15,$F$18-E32-F32,IF(B32=$F$15,$E$17-SUM($D$28:D31),0))</f>
        <v>2412.347192297997</v>
      </c>
      <c r="E32" s="168">
        <f>IF(B32&lt;=$F$15,(E$17*(VLOOKUP($H$2,Лист2!$A:$N,12,0)-(B32-1)*VLOOKUP($H$2,Лист2!$A:$N,13,0))),0)</f>
        <v>5249.9685000000009</v>
      </c>
      <c r="F32" s="169">
        <f>ROUND((E$17-SUM(D$29:D31))*F$9*30/365,2)</f>
        <v>1762.24</v>
      </c>
      <c r="G32" s="269">
        <f t="shared" si="1"/>
        <v>9424.5556922979977</v>
      </c>
      <c r="H32" s="269"/>
      <c r="I32" s="3"/>
      <c r="K32" s="132" t="str">
        <f>Лист2!A24</f>
        <v>Консолідований Х, 60 міс.</v>
      </c>
    </row>
    <row r="33" spans="1:11" x14ac:dyDescent="0.25">
      <c r="A33" s="1">
        <v>5</v>
      </c>
      <c r="B33" s="119">
        <v>5</v>
      </c>
      <c r="C33" s="122">
        <f t="shared" ca="1" si="0"/>
        <v>44242</v>
      </c>
      <c r="D33" s="167">
        <f>IF(B33&lt;$F$15,$F$18-E33-F33,IF(B33=$F$15,$E$17-SUM($D$28:D32),0))</f>
        <v>2442.097192297997</v>
      </c>
      <c r="E33" s="168">
        <f>IF(B33&lt;=$F$15,(E$17*(VLOOKUP($H$2,Лист2!$A:$N,12,0)-(B33-1)*VLOOKUP($H$2,Лист2!$A:$N,13,0))),0)</f>
        <v>5249.9685000000009</v>
      </c>
      <c r="F33" s="169">
        <f>ROUND((E$17-SUM(D$29:D32))*F$9*30/365,2)</f>
        <v>1732.49</v>
      </c>
      <c r="G33" s="269">
        <f t="shared" si="1"/>
        <v>9424.5556922979977</v>
      </c>
      <c r="H33" s="269"/>
      <c r="I33" s="3"/>
      <c r="K33" s="132" t="str">
        <f>Лист2!A25</f>
        <v>Консолідований Х, 48 міс.</v>
      </c>
    </row>
    <row r="34" spans="1:11" x14ac:dyDescent="0.25">
      <c r="A34" s="1">
        <v>6</v>
      </c>
      <c r="B34" s="119">
        <v>6</v>
      </c>
      <c r="C34" s="122">
        <f t="shared" ca="1" si="0"/>
        <v>44270</v>
      </c>
      <c r="D34" s="167">
        <f>IF(B34&lt;$F$15,$F$18-E34-F34,IF(B34=$F$15,$E$17-SUM($D$28:D33),0))</f>
        <v>2472.1971922979965</v>
      </c>
      <c r="E34" s="168">
        <f>IF(B34&lt;=$F$15,(E$17*(VLOOKUP($H$2,Лист2!$A:$N,12,0)-(B34-1)*VLOOKUP($H$2,Лист2!$A:$N,13,0))),0)</f>
        <v>5249.9685000000009</v>
      </c>
      <c r="F34" s="169">
        <f>ROUND((E$17-SUM(D$29:D33))*F$9*30/365,2)</f>
        <v>1702.39</v>
      </c>
      <c r="G34" s="269">
        <f t="shared" si="1"/>
        <v>9424.5556922979977</v>
      </c>
      <c r="H34" s="269"/>
      <c r="I34" s="3"/>
      <c r="K34" s="132" t="str">
        <f>Лист2!A26</f>
        <v>Консолідований Х, 36 міс.</v>
      </c>
    </row>
    <row r="35" spans="1:11" x14ac:dyDescent="0.25">
      <c r="A35" s="1">
        <v>7</v>
      </c>
      <c r="B35" s="119">
        <v>7</v>
      </c>
      <c r="C35" s="122">
        <f t="shared" ca="1" si="0"/>
        <v>44301</v>
      </c>
      <c r="D35" s="167">
        <f>IF(B35&lt;$F$15,$F$18-E35-F35,IF(B35=$F$15,$E$17-SUM($D$28:D34),0))</f>
        <v>2502.677192297997</v>
      </c>
      <c r="E35" s="168">
        <f>IF(B35&lt;=$F$15,(E$17*(VLOOKUP($H$2,Лист2!$A:$N,12,0)-(B35-1)*VLOOKUP($H$2,Лист2!$A:$N,13,0))),0)</f>
        <v>5249.9685000000009</v>
      </c>
      <c r="F35" s="169">
        <f>ROUND((E$17-SUM(D$29:D34))*F$9*30/365,2)</f>
        <v>1671.91</v>
      </c>
      <c r="G35" s="269">
        <f t="shared" si="1"/>
        <v>9424.5556922979977</v>
      </c>
      <c r="H35" s="269"/>
      <c r="I35" s="3"/>
      <c r="K35" s="132" t="str">
        <f>Лист2!A27</f>
        <v>Консолідований Х, 24 міс.</v>
      </c>
    </row>
    <row r="36" spans="1:11" x14ac:dyDescent="0.25">
      <c r="A36" s="1">
        <v>8</v>
      </c>
      <c r="B36" s="119">
        <v>8</v>
      </c>
      <c r="C36" s="122">
        <f t="shared" ca="1" si="0"/>
        <v>44331</v>
      </c>
      <c r="D36" s="167">
        <f>IF(B36&lt;$F$15,$F$18-E36-F36,IF(B36=$F$15,$E$17-SUM($D$28:D35),0))</f>
        <v>2533.5371922979966</v>
      </c>
      <c r="E36" s="168">
        <f>IF(B36&lt;=$F$15,(E$17*(VLOOKUP($H$2,Лист2!$A:$N,12,0)-(B36-1)*VLOOKUP($H$2,Лист2!$A:$N,13,0))),0)</f>
        <v>5249.9685000000009</v>
      </c>
      <c r="F36" s="169">
        <f>ROUND((E$17-SUM(D$29:D35))*F$9*30/365,2)</f>
        <v>1641.05</v>
      </c>
      <c r="G36" s="269">
        <f t="shared" si="1"/>
        <v>9424.5556922979977</v>
      </c>
      <c r="H36" s="269"/>
      <c r="I36" s="3"/>
      <c r="K36" s="132" t="str">
        <f>Лист2!A28</f>
        <v>Консолідований Х, 18 міс.</v>
      </c>
    </row>
    <row r="37" spans="1:11" x14ac:dyDescent="0.25">
      <c r="A37" s="1">
        <v>9</v>
      </c>
      <c r="B37" s="119">
        <v>9</v>
      </c>
      <c r="C37" s="122">
        <f t="shared" ca="1" si="0"/>
        <v>44362</v>
      </c>
      <c r="D37" s="167">
        <f>IF(B37&lt;$F$15,$F$18-E37-F37,IF(B37=$F$15,$E$17-SUM($D$28:D36),0))</f>
        <v>2564.7671922979971</v>
      </c>
      <c r="E37" s="168">
        <f>IF(B37&lt;=$F$15,(E$17*(VLOOKUP($H$2,Лист2!$A:$N,12,0)-(B37-1)*VLOOKUP($H$2,Лист2!$A:$N,13,0))),0)</f>
        <v>5249.9685000000009</v>
      </c>
      <c r="F37" s="169">
        <f>ROUND((E$17-SUM(D$29:D36))*F$9*30/365,2)</f>
        <v>1609.82</v>
      </c>
      <c r="G37" s="269">
        <f t="shared" si="1"/>
        <v>9424.5556922979977</v>
      </c>
      <c r="H37" s="269"/>
      <c r="I37" s="3"/>
      <c r="K37" s="132" t="str">
        <f>Лист2!A29</f>
        <v>Консолідований Х, 12 міс.</v>
      </c>
    </row>
    <row r="38" spans="1:11" x14ac:dyDescent="0.25">
      <c r="A38" s="1">
        <v>10</v>
      </c>
      <c r="B38" s="119">
        <v>10</v>
      </c>
      <c r="C38" s="122">
        <f t="shared" ca="1" si="0"/>
        <v>44392</v>
      </c>
      <c r="D38" s="167">
        <f>IF(B38&lt;$F$15,$F$18-E38-F38,IF(B38=$F$15,$E$17-SUM($D$28:D37),0))</f>
        <v>2596.387192297997</v>
      </c>
      <c r="E38" s="168">
        <f>IF(B38&lt;=$F$15,(E$17*(VLOOKUP($H$2,Лист2!$A:$N,12,0)-(B38-1)*VLOOKUP($H$2,Лист2!$A:$N,13,0))),0)</f>
        <v>5249.9685000000009</v>
      </c>
      <c r="F38" s="169">
        <f>ROUND((E$17-SUM(D$29:D37))*F$9*30/365,2)</f>
        <v>1578.2</v>
      </c>
      <c r="G38" s="269">
        <f t="shared" si="1"/>
        <v>9424.5556922979977</v>
      </c>
      <c r="H38" s="269"/>
      <c r="I38" s="3"/>
      <c r="K38" s="132" t="str">
        <f>Лист2!A30</f>
        <v>Для ВАС Х, 48 міс.</v>
      </c>
    </row>
    <row r="39" spans="1:11" x14ac:dyDescent="0.25">
      <c r="A39" s="1">
        <v>22</v>
      </c>
      <c r="B39" s="119">
        <v>11</v>
      </c>
      <c r="C39" s="122">
        <f t="shared" ca="1" si="0"/>
        <v>44423</v>
      </c>
      <c r="D39" s="167">
        <f>IF(B39&lt;$F$15,$F$18-E39-F39,IF(B39=$F$15,$E$17-SUM($D$28:D38),0))</f>
        <v>2628.3971922979968</v>
      </c>
      <c r="E39" s="168">
        <f>IF(B39&lt;=$F$15,(E$17*(VLOOKUP($H$2,Лист2!$A:$N,12,0)-(B39-1)*VLOOKUP($H$2,Лист2!$A:$N,13,0))),0)</f>
        <v>5249.9685000000009</v>
      </c>
      <c r="F39" s="169">
        <f>ROUND((E$17-SUM(D$29:D38))*F$9*30/365,2)</f>
        <v>1546.19</v>
      </c>
      <c r="G39" s="269">
        <f t="shared" si="1"/>
        <v>9424.5556922979977</v>
      </c>
      <c r="H39" s="269"/>
      <c r="I39" s="3"/>
      <c r="K39" s="132" t="str">
        <f>Лист2!A31</f>
        <v>Для ВАС Х, 36 міс.</v>
      </c>
    </row>
    <row r="40" spans="1:11" x14ac:dyDescent="0.25">
      <c r="A40" s="1">
        <v>22</v>
      </c>
      <c r="B40" s="119">
        <v>12</v>
      </c>
      <c r="C40" s="122">
        <f t="shared" ca="1" si="0"/>
        <v>44454</v>
      </c>
      <c r="D40" s="167">
        <f>IF(B40&lt;$F$15,$F$18-E40-F40,IF(B40=$F$15,$E$17-SUM($D$28:D39),0))</f>
        <v>2660.8071922979971</v>
      </c>
      <c r="E40" s="168">
        <f>IF(B40&lt;=$F$15,(E$17*(VLOOKUP($H$2,Лист2!$A:$N,12,0)-(B40-1)*VLOOKUP($H$2,Лист2!$A:$N,13,0))),0)</f>
        <v>5249.9685000000009</v>
      </c>
      <c r="F40" s="169">
        <f>ROUND((E$17-SUM(D$29:D39))*F$9*30/365,2)</f>
        <v>1513.78</v>
      </c>
      <c r="G40" s="269">
        <f t="shared" si="1"/>
        <v>9424.5556922979977</v>
      </c>
      <c r="H40" s="269"/>
      <c r="I40" s="3"/>
      <c r="K40" s="132" t="str">
        <f>Лист2!A32</f>
        <v>Для ВАС Х, 30 міс.</v>
      </c>
    </row>
    <row r="41" spans="1:11" x14ac:dyDescent="0.25">
      <c r="A41" s="1">
        <v>13</v>
      </c>
      <c r="B41" s="119">
        <v>13</v>
      </c>
      <c r="C41" s="122">
        <f t="shared" ca="1" si="0"/>
        <v>44484</v>
      </c>
      <c r="D41" s="167">
        <f>IF(B41&lt;$F$15,$F$18-E41-F41,IF(B41=$F$15,$E$17-SUM($D$28:D40),0))</f>
        <v>2693.6071922979968</v>
      </c>
      <c r="E41" s="168">
        <f>IF(B41&lt;=$F$15,(E$17*(VLOOKUP($H$2,Лист2!$A:$N,12,0)-(B41-1)*VLOOKUP($H$2,Лист2!$A:$N,13,0))),0)</f>
        <v>5249.9685000000009</v>
      </c>
      <c r="F41" s="169">
        <f>ROUND((E$17-SUM(D$29:D40))*F$9*30/365,2)</f>
        <v>1480.98</v>
      </c>
      <c r="G41" s="269">
        <f t="shared" si="1"/>
        <v>9424.5556922979977</v>
      </c>
      <c r="H41" s="269"/>
      <c r="I41" s="3"/>
      <c r="K41" s="132" t="str">
        <f>Лист2!A33</f>
        <v>Для ВАС Х, 24 міс.</v>
      </c>
    </row>
    <row r="42" spans="1:11" x14ac:dyDescent="0.25">
      <c r="A42" s="1">
        <v>14</v>
      </c>
      <c r="B42" s="119">
        <v>14</v>
      </c>
      <c r="C42" s="122">
        <f t="shared" ca="1" si="0"/>
        <v>44515</v>
      </c>
      <c r="D42" s="167">
        <f>IF(B42&lt;$F$15,$F$18-E42-F42,IF(B42=$F$15,$E$17-SUM($D$28:D41),0))</f>
        <v>2726.8171922979968</v>
      </c>
      <c r="E42" s="168">
        <f>IF(B42&lt;=$F$15,(E$17*(VLOOKUP($H$2,Лист2!$A:$N,12,0)-(B42-1)*VLOOKUP($H$2,Лист2!$A:$N,13,0))),0)</f>
        <v>5249.9685000000009</v>
      </c>
      <c r="F42" s="169">
        <f>ROUND((E$17-SUM(D$29:D41))*F$9*30/365,2)</f>
        <v>1447.77</v>
      </c>
      <c r="G42" s="269">
        <f t="shared" si="1"/>
        <v>9424.5556922979977</v>
      </c>
      <c r="H42" s="269"/>
      <c r="I42" s="3"/>
      <c r="K42" s="132" t="str">
        <f>Лист2!A34</f>
        <v>Для ВАС Х, 18 міс.</v>
      </c>
    </row>
    <row r="43" spans="1:11" x14ac:dyDescent="0.25">
      <c r="A43" s="1">
        <v>15</v>
      </c>
      <c r="B43" s="119">
        <v>15</v>
      </c>
      <c r="C43" s="122">
        <f t="shared" ca="1" si="0"/>
        <v>44545</v>
      </c>
      <c r="D43" s="167">
        <f>IF(B43&lt;$F$15,$F$18-E43-F43,IF(B43=$F$15,$E$17-SUM($D$28:D42),0))</f>
        <v>2760.4371922979967</v>
      </c>
      <c r="E43" s="168">
        <f>IF(B43&lt;=$F$15,(E$17*(VLOOKUP($H$2,Лист2!$A:$N,12,0)-(B43-1)*VLOOKUP($H$2,Лист2!$A:$N,13,0))),0)</f>
        <v>5249.9685000000009</v>
      </c>
      <c r="F43" s="169">
        <f>ROUND((E$17-SUM(D$29:D42))*F$9*30/365,2)</f>
        <v>1414.15</v>
      </c>
      <c r="G43" s="269">
        <f t="shared" si="1"/>
        <v>9424.5556922979977</v>
      </c>
      <c r="H43" s="269"/>
      <c r="I43" s="3"/>
      <c r="K43" s="132" t="str">
        <f>Лист2!A35</f>
        <v>Для ВАС Х, 12 міс.</v>
      </c>
    </row>
    <row r="44" spans="1:11" x14ac:dyDescent="0.25">
      <c r="A44" s="1">
        <v>16</v>
      </c>
      <c r="B44" s="119">
        <v>16</v>
      </c>
      <c r="C44" s="122">
        <f t="shared" ca="1" si="0"/>
        <v>44576</v>
      </c>
      <c r="D44" s="167">
        <f>IF(B44&lt;$F$15,$F$18-E44-F44,IF(B44=$F$15,$E$17-SUM($D$28:D43),0))</f>
        <v>2794.4671922979969</v>
      </c>
      <c r="E44" s="168">
        <f>IF(B44&lt;=$F$15,(E$17*(VLOOKUP($H$2,Лист2!$A:$N,12,0)-(B44-1)*VLOOKUP($H$2,Лист2!$A:$N,13,0))),0)</f>
        <v>5249.9685000000009</v>
      </c>
      <c r="F44" s="169">
        <f>ROUND((E$17-SUM(D$29:D43))*F$9*30/365,2)</f>
        <v>1380.12</v>
      </c>
      <c r="G44" s="269">
        <f t="shared" si="1"/>
        <v>9424.5556922979977</v>
      </c>
      <c r="H44" s="269"/>
      <c r="I44" s="3"/>
      <c r="K44" s="132" t="str">
        <f>Лист2!A36</f>
        <v>Бюджетний Х, 48 міс.</v>
      </c>
    </row>
    <row r="45" spans="1:11" x14ac:dyDescent="0.25">
      <c r="A45" s="1">
        <v>22</v>
      </c>
      <c r="B45" s="119">
        <v>17</v>
      </c>
      <c r="C45" s="122">
        <f t="shared" ca="1" si="0"/>
        <v>44607</v>
      </c>
      <c r="D45" s="167">
        <f>IF(B45&lt;$F$15,$F$18-E45-F45,IF(B45=$F$15,$E$17-SUM($D$28:D44),0))</f>
        <v>2828.927192297997</v>
      </c>
      <c r="E45" s="168">
        <f>IF(B45&lt;=$F$15,(E$17*(VLOOKUP($H$2,Лист2!$A:$N,12,0)-(B45-1)*VLOOKUP($H$2,Лист2!$A:$N,13,0))),0)</f>
        <v>5249.9685000000009</v>
      </c>
      <c r="F45" s="169">
        <f>ROUND((E$17-SUM(D$29:D44))*F$9*30/365,2)</f>
        <v>1345.66</v>
      </c>
      <c r="G45" s="269">
        <f t="shared" si="1"/>
        <v>9424.5556922979977</v>
      </c>
      <c r="H45" s="269"/>
      <c r="I45" s="3"/>
      <c r="K45" s="132" t="str">
        <f>Лист2!A37</f>
        <v>Бюджетний Х, 36 міс.</v>
      </c>
    </row>
    <row r="46" spans="1:11" x14ac:dyDescent="0.25">
      <c r="A46" s="1">
        <v>22</v>
      </c>
      <c r="B46" s="119">
        <v>18</v>
      </c>
      <c r="C46" s="122">
        <f t="shared" ca="1" si="0"/>
        <v>44635</v>
      </c>
      <c r="D46" s="167">
        <f>IF(B46&lt;$F$15,$F$18-E46-F46,IF(B46=$F$15,$E$17-SUM($D$28:D45),0))</f>
        <v>2863.7971922979968</v>
      </c>
      <c r="E46" s="168">
        <f>IF(B46&lt;=$F$15,(E$17*(VLOOKUP($H$2,Лист2!$A:$N,12,0)-(B46-1)*VLOOKUP($H$2,Лист2!$A:$N,13,0))),0)</f>
        <v>5249.9685000000009</v>
      </c>
      <c r="F46" s="169">
        <f>ROUND((E$17-SUM(D$29:D45))*F$9*30/365,2)</f>
        <v>1310.79</v>
      </c>
      <c r="G46" s="269">
        <f t="shared" si="1"/>
        <v>9424.5556922979977</v>
      </c>
      <c r="H46" s="269"/>
      <c r="I46" s="3"/>
      <c r="K46" s="132" t="str">
        <f>Лист2!A38</f>
        <v>Бюджетний Х, 30 міс.</v>
      </c>
    </row>
    <row r="47" spans="1:11" x14ac:dyDescent="0.25">
      <c r="A47" s="1">
        <v>19</v>
      </c>
      <c r="B47" s="119">
        <v>19</v>
      </c>
      <c r="C47" s="122">
        <f t="shared" ca="1" si="0"/>
        <v>44666</v>
      </c>
      <c r="D47" s="167">
        <f>IF(B47&lt;$F$15,$F$18-E47-F47,IF(B47=$F$15,$E$17-SUM($D$28:D46),0))</f>
        <v>2899.1071922979968</v>
      </c>
      <c r="E47" s="168">
        <f>IF(B47&lt;=$F$15,(E$17*(VLOOKUP($H$2,Лист2!$A:$N,12,0)-(B47-1)*VLOOKUP($H$2,Лист2!$A:$N,13,0))),0)</f>
        <v>5249.9685000000009</v>
      </c>
      <c r="F47" s="169">
        <f>ROUND((E$17-SUM(D$29:D46))*F$9*30/365,2)</f>
        <v>1275.48</v>
      </c>
      <c r="G47" s="269">
        <f t="shared" si="1"/>
        <v>9424.5556922979977</v>
      </c>
      <c r="H47" s="269"/>
      <c r="I47" s="3"/>
      <c r="K47" s="132" t="str">
        <f>Лист2!A39</f>
        <v>Бюджетний Х, 24 міс.</v>
      </c>
    </row>
    <row r="48" spans="1:11" x14ac:dyDescent="0.25">
      <c r="A48" s="1">
        <v>20</v>
      </c>
      <c r="B48" s="119">
        <v>20</v>
      </c>
      <c r="C48" s="122">
        <f t="shared" ca="1" si="0"/>
        <v>44696</v>
      </c>
      <c r="D48" s="167">
        <f>IF(B48&lt;$F$15,$F$18-E48-F48,IF(B48=$F$15,$E$17-SUM($D$28:D47),0))</f>
        <v>2934.847192297997</v>
      </c>
      <c r="E48" s="168">
        <f>IF(B48&lt;=$F$15,(E$17*(VLOOKUP($H$2,Лист2!$A:$N,12,0)-(B48-1)*VLOOKUP($H$2,Лист2!$A:$N,13,0))),0)</f>
        <v>5249.9685000000009</v>
      </c>
      <c r="F48" s="169">
        <f>ROUND((E$17-SUM(D$29:D47))*F$9*30/365,2)</f>
        <v>1239.74</v>
      </c>
      <c r="G48" s="269">
        <f t="shared" si="1"/>
        <v>9424.5556922979977</v>
      </c>
      <c r="H48" s="269"/>
      <c r="I48" s="3"/>
      <c r="K48" s="132" t="str">
        <f>Лист2!A40</f>
        <v>Бюджетний Х, 18 міс.</v>
      </c>
    </row>
    <row r="49" spans="1:11" x14ac:dyDescent="0.25">
      <c r="A49" s="59">
        <v>21</v>
      </c>
      <c r="B49" s="119">
        <v>21</v>
      </c>
      <c r="C49" s="122">
        <f t="shared" ca="1" si="0"/>
        <v>44727</v>
      </c>
      <c r="D49" s="167">
        <f>IF(B49&lt;$F$15,$F$18-E49-F49,IF(B49=$F$15,$E$17-SUM($D$28:D48),0))</f>
        <v>2971.0371922979966</v>
      </c>
      <c r="E49" s="168">
        <f>IF(B49&lt;=$F$15,(E$17*(VLOOKUP($H$2,Лист2!$A:$N,12,0)-(B49-1)*VLOOKUP($H$2,Лист2!$A:$N,13,0))),0)</f>
        <v>5249.9685000000009</v>
      </c>
      <c r="F49" s="169">
        <f>ROUND((E$17-SUM(D$29:D48))*F$9*30/365,2)</f>
        <v>1203.55</v>
      </c>
      <c r="G49" s="269">
        <f t="shared" si="1"/>
        <v>9424.5556922979958</v>
      </c>
      <c r="H49" s="269"/>
      <c r="I49" s="3"/>
      <c r="K49" s="132" t="str">
        <f>Лист2!A41</f>
        <v>Бюджетний Х, 12 міс.</v>
      </c>
    </row>
    <row r="50" spans="1:11" x14ac:dyDescent="0.25">
      <c r="A50" s="59">
        <v>22</v>
      </c>
      <c r="B50" s="119">
        <v>22</v>
      </c>
      <c r="C50" s="122">
        <f t="shared" ca="1" si="0"/>
        <v>44757</v>
      </c>
      <c r="D50" s="167">
        <f>IF(B50&lt;$F$15,$F$18-E50-F50,IF(B50=$F$15,$E$17-SUM($D$28:D49),0))</f>
        <v>3007.6571922979965</v>
      </c>
      <c r="E50" s="168">
        <f>IF(B50&lt;=$F$15,(E$17*(VLOOKUP($H$2,Лист2!$A:$N,12,0)-(B50-1)*VLOOKUP($H$2,Лист2!$A:$N,13,0))),0)</f>
        <v>5249.9685000000009</v>
      </c>
      <c r="F50" s="169">
        <f>ROUND((E$17-SUM(D$29:D49))*F$9*30/365,2)</f>
        <v>1166.93</v>
      </c>
      <c r="G50" s="269">
        <f t="shared" si="1"/>
        <v>9424.5556922979977</v>
      </c>
      <c r="H50" s="269"/>
      <c r="I50" s="3"/>
      <c r="K50" s="132" t="str">
        <f>Лист2!A42</f>
        <v>Пенсійний Х, 30 міс.</v>
      </c>
    </row>
    <row r="51" spans="1:11" x14ac:dyDescent="0.25">
      <c r="A51" s="59">
        <v>25</v>
      </c>
      <c r="B51" s="119">
        <v>23</v>
      </c>
      <c r="C51" s="122">
        <f t="shared" ca="1" si="0"/>
        <v>44788</v>
      </c>
      <c r="D51" s="167">
        <f>IF(B51&lt;$F$15,$F$18-E51-F51,IF(B51=$F$15,$E$17-SUM($D$28:D50),0))</f>
        <v>3044.7471922979967</v>
      </c>
      <c r="E51" s="168">
        <f>IF(B51&lt;=$F$15,(E$17*(VLOOKUP($H$2,Лист2!$A:$N,12,0)-(B51-1)*VLOOKUP($H$2,Лист2!$A:$N,13,0))),0)</f>
        <v>5249.9685000000009</v>
      </c>
      <c r="F51" s="169">
        <f>ROUND((E$17-SUM(D$29:D50))*F$9*30/365,2)</f>
        <v>1129.8399999999999</v>
      </c>
      <c r="G51" s="269">
        <f t="shared" si="1"/>
        <v>9424.5556922979977</v>
      </c>
      <c r="H51" s="269"/>
      <c r="I51" s="3"/>
      <c r="K51" s="132" t="str">
        <f>Лист2!A43</f>
        <v>Пенсійний Х, 24 міс.</v>
      </c>
    </row>
    <row r="52" spans="1:11" x14ac:dyDescent="0.25">
      <c r="A52" s="59"/>
      <c r="B52" s="119">
        <v>24</v>
      </c>
      <c r="C52" s="122">
        <f t="shared" ca="1" si="0"/>
        <v>44819</v>
      </c>
      <c r="D52" s="167">
        <f>IF(B52&lt;$F$15,$F$18-E52-F52,IF(B52=$F$15,$E$17-SUM($D$28:D51),0))</f>
        <v>3082.2771922979969</v>
      </c>
      <c r="E52" s="168">
        <f>IF(B52&lt;=$F$15,(E$17*(VLOOKUP($H$2,Лист2!$A:$N,12,0)-(B52-1)*VLOOKUP($H$2,Лист2!$A:$N,13,0))),0)</f>
        <v>5249.9685000000009</v>
      </c>
      <c r="F52" s="169">
        <f>ROUND((E$17-SUM(D$29:D51))*F$9*30/365,2)</f>
        <v>1092.31</v>
      </c>
      <c r="G52" s="269">
        <f t="shared" si="1"/>
        <v>9424.5556922979977</v>
      </c>
      <c r="H52" s="269"/>
      <c r="I52" s="3"/>
      <c r="K52" s="132" t="str">
        <f>Лист2!A44</f>
        <v>Пенсійний Х, 18 міс.</v>
      </c>
    </row>
    <row r="53" spans="1:11" x14ac:dyDescent="0.25">
      <c r="A53" s="59"/>
      <c r="B53" s="119">
        <v>25</v>
      </c>
      <c r="C53" s="122">
        <f t="shared" ca="1" si="0"/>
        <v>44849</v>
      </c>
      <c r="D53" s="167">
        <f>IF(B53&lt;$F$15,$F$18-E53-F53,IF(B53=$F$15,$E$17-SUM($D$28:D52),0))</f>
        <v>3120.2771922979969</v>
      </c>
      <c r="E53" s="168">
        <f>IF(B53&lt;=$F$15,(E$17*(VLOOKUP($H$2,Лист2!$A:$N,12,0)-(B53-1)*VLOOKUP($H$2,Лист2!$A:$N,13,0))),0)</f>
        <v>5249.9685000000009</v>
      </c>
      <c r="F53" s="169">
        <f>ROUND((E$17-SUM(D$29:D52))*F$9*30/365,2)</f>
        <v>1054.31</v>
      </c>
      <c r="G53" s="269">
        <f t="shared" si="1"/>
        <v>9424.5556922979977</v>
      </c>
      <c r="H53" s="269"/>
      <c r="I53" s="3"/>
      <c r="K53" s="132" t="str">
        <f>Лист2!A45</f>
        <v>Пенсійний Х, 12 міс.</v>
      </c>
    </row>
    <row r="54" spans="1:11" x14ac:dyDescent="0.25">
      <c r="A54" s="59"/>
      <c r="B54" s="119">
        <v>26</v>
      </c>
      <c r="C54" s="122">
        <f t="shared" ca="1" si="0"/>
        <v>44880</v>
      </c>
      <c r="D54" s="167">
        <f>IF(B54&lt;$F$15,$F$18-E54-F54,IF(B54=$F$15,$E$17-SUM($D$28:D53),0))</f>
        <v>3158.7471922979967</v>
      </c>
      <c r="E54" s="168">
        <f>IF(B54&lt;=$F$15,(E$17*(VLOOKUP($H$2,Лист2!$A:$N,12,0)-(B54-1)*VLOOKUP($H$2,Лист2!$A:$N,13,0))),0)</f>
        <v>5249.9685000000009</v>
      </c>
      <c r="F54" s="169">
        <f>ROUND((E$17-SUM(D$29:D53))*F$9*30/365,2)</f>
        <v>1015.84</v>
      </c>
      <c r="G54" s="269">
        <f t="shared" si="1"/>
        <v>9424.5556922979977</v>
      </c>
      <c r="H54" s="269"/>
      <c r="I54" s="3"/>
      <c r="K54" s="132" t="str">
        <f>Лист2!A46</f>
        <v>BIG CASH (ОТП), 48 міс.</v>
      </c>
    </row>
    <row r="55" spans="1:11" x14ac:dyDescent="0.25">
      <c r="A55" s="59"/>
      <c r="B55" s="119">
        <v>27</v>
      </c>
      <c r="C55" s="122">
        <f t="shared" ca="1" si="0"/>
        <v>44910</v>
      </c>
      <c r="D55" s="167">
        <f>IF(B55&lt;$F$15,$F$18-E55-F55,IF(B55=$F$15,$E$17-SUM($D$28:D54),0))</f>
        <v>3197.6971922979969</v>
      </c>
      <c r="E55" s="168">
        <f>IF(B55&lt;=$F$15,(E$17*(VLOOKUP($H$2,Лист2!$A:$N,12,0)-(B55-1)*VLOOKUP($H$2,Лист2!$A:$N,13,0))),0)</f>
        <v>5249.9685000000009</v>
      </c>
      <c r="F55" s="169">
        <f>ROUND((E$17-SUM(D$29:D54))*F$9*30/365,2)</f>
        <v>976.89</v>
      </c>
      <c r="G55" s="269">
        <f t="shared" si="1"/>
        <v>9424.5556922979977</v>
      </c>
      <c r="H55" s="269"/>
      <c r="I55" s="3"/>
      <c r="K55" s="132" t="str">
        <f>Лист2!A47</f>
        <v>BIG CASH (ОТП), 36 міс.</v>
      </c>
    </row>
    <row r="56" spans="1:11" x14ac:dyDescent="0.25">
      <c r="A56" s="59"/>
      <c r="B56" s="119">
        <v>28</v>
      </c>
      <c r="C56" s="122">
        <f t="shared" ca="1" si="0"/>
        <v>44941</v>
      </c>
      <c r="D56" s="167">
        <f>IF(B56&lt;$F$15,$F$18-E56-F56,IF(B56=$F$15,$E$17-SUM($D$28:D55),0))</f>
        <v>3237.1171922979966</v>
      </c>
      <c r="E56" s="168">
        <f>IF(B56&lt;=$F$15,(E$17*(VLOOKUP($H$2,Лист2!$A:$N,12,0)-(B56-1)*VLOOKUP($H$2,Лист2!$A:$N,13,0))),0)</f>
        <v>5249.9685000000009</v>
      </c>
      <c r="F56" s="169">
        <f>ROUND((E$17-SUM(D$29:D55))*F$9*30/365,2)</f>
        <v>937.47</v>
      </c>
      <c r="G56" s="269">
        <f t="shared" si="1"/>
        <v>9424.5556922979977</v>
      </c>
      <c r="H56" s="269"/>
      <c r="I56" s="3"/>
      <c r="K56" s="132" t="str">
        <f>Лист2!A48</f>
        <v>BIG CASH (ОТП), 30 міс.</v>
      </c>
    </row>
    <row r="57" spans="1:11" x14ac:dyDescent="0.25">
      <c r="A57" s="59"/>
      <c r="B57" s="119">
        <v>29</v>
      </c>
      <c r="C57" s="122">
        <f t="shared" ca="1" si="0"/>
        <v>44972</v>
      </c>
      <c r="D57" s="167">
        <f>IF(B57&lt;$F$15,$F$18-E57-F57,IF(B57=$F$15,$E$17-SUM($D$28:D56),0))</f>
        <v>3277.0271922979969</v>
      </c>
      <c r="E57" s="168">
        <f>IF(B57&lt;=$F$15,(E$17*(VLOOKUP($H$2,Лист2!$A:$N,12,0)-(B57-1)*VLOOKUP($H$2,Лист2!$A:$N,13,0))),0)</f>
        <v>5249.9685000000009</v>
      </c>
      <c r="F57" s="169">
        <f>ROUND((E$17-SUM(D$29:D56))*F$9*30/365,2)</f>
        <v>897.56</v>
      </c>
      <c r="G57" s="269">
        <f t="shared" si="1"/>
        <v>9424.5556922979977</v>
      </c>
      <c r="H57" s="269"/>
      <c r="I57" s="3"/>
      <c r="K57" s="132" t="str">
        <f>Лист2!A49</f>
        <v>BIG CASH (ОТП), 24 міс.</v>
      </c>
    </row>
    <row r="58" spans="1:11" x14ac:dyDescent="0.25">
      <c r="A58" s="59">
        <v>25</v>
      </c>
      <c r="B58" s="119">
        <v>30</v>
      </c>
      <c r="C58" s="122">
        <f t="shared" ca="1" si="0"/>
        <v>45000</v>
      </c>
      <c r="D58" s="167">
        <f>IF(B58&lt;$F$15,$F$18-E58-F58,IF(B58=$F$15,$E$17-SUM($D$28:D57),0))</f>
        <v>3317.427192297997</v>
      </c>
      <c r="E58" s="168">
        <f>IF(B58&lt;=$F$15,(E$17*(VLOOKUP($H$2,Лист2!$A:$N,12,0)-(B58-1)*VLOOKUP($H$2,Лист2!$A:$N,13,0))),0)</f>
        <v>5249.9685000000009</v>
      </c>
      <c r="F58" s="169">
        <f>ROUND((E$17-SUM(D$29:D57))*F$9*30/365,2)</f>
        <v>857.16</v>
      </c>
      <c r="G58" s="269">
        <f t="shared" si="1"/>
        <v>9424.5556922979977</v>
      </c>
      <c r="H58" s="269"/>
      <c r="I58" s="124"/>
      <c r="J58" s="124"/>
      <c r="K58" s="132" t="str">
        <f>Лист2!A50</f>
        <v>BIG CASH (ОТП), 18 міс.</v>
      </c>
    </row>
    <row r="59" spans="1:11" x14ac:dyDescent="0.25">
      <c r="A59" s="59"/>
      <c r="B59" s="119">
        <v>31</v>
      </c>
      <c r="C59" s="122">
        <f t="shared" ca="1" si="0"/>
        <v>45031</v>
      </c>
      <c r="D59" s="167">
        <f>IF(B59&lt;$F$15,$F$18-E59-F59,IF(B59=$F$15,$E$17-SUM($D$28:D58),0))</f>
        <v>3358.3271922979966</v>
      </c>
      <c r="E59" s="168">
        <f>IF(B59&lt;=$F$15,(E$17*(VLOOKUP($H$2,Лист2!$A:$N,12,0)-(B59-1)*VLOOKUP($H$2,Лист2!$A:$N,13,0))),0)</f>
        <v>5249.9685000000009</v>
      </c>
      <c r="F59" s="169">
        <f>ROUND((E$17-SUM(D$29:D58))*F$9*30/365,2)</f>
        <v>816.26</v>
      </c>
      <c r="G59" s="269">
        <f t="shared" si="1"/>
        <v>9424.5556922979977</v>
      </c>
      <c r="H59" s="269"/>
      <c r="I59" s="124"/>
      <c r="J59" s="124"/>
      <c r="K59" s="132" t="str">
        <f>Лист2!A51</f>
        <v>BIG CASH (ОТП), 12 міс.</v>
      </c>
    </row>
    <row r="60" spans="1:11" x14ac:dyDescent="0.25">
      <c r="A60" s="59"/>
      <c r="B60" s="119">
        <v>32</v>
      </c>
      <c r="C60" s="122">
        <f t="shared" ca="1" si="0"/>
        <v>45061</v>
      </c>
      <c r="D60" s="167">
        <f>IF(B60&lt;$F$15,$F$18-E60-F60,IF(B60=$F$15,$E$17-SUM($D$28:D59),0))</f>
        <v>3399.7371922979969</v>
      </c>
      <c r="E60" s="168">
        <f>IF(B60&lt;=$F$15,(E$17*(VLOOKUP($H$2,Лист2!$A:$N,12,0)-(B60-1)*VLOOKUP($H$2,Лист2!$A:$N,13,0))),0)</f>
        <v>5249.9685000000009</v>
      </c>
      <c r="F60" s="169">
        <f>ROUND((E$17-SUM(D$29:D59))*F$9*30/365,2)</f>
        <v>774.85</v>
      </c>
      <c r="G60" s="269">
        <f t="shared" si="1"/>
        <v>9424.5556922979977</v>
      </c>
      <c r="H60" s="269"/>
      <c r="I60" s="124"/>
      <c r="J60" s="124"/>
      <c r="K60" s="132" t="str">
        <f>Лист2!A52</f>
        <v>Кредит Маркет, 36 міс.</v>
      </c>
    </row>
    <row r="61" spans="1:11" x14ac:dyDescent="0.25">
      <c r="A61" s="59"/>
      <c r="B61" s="119">
        <v>33</v>
      </c>
      <c r="C61" s="122">
        <f t="shared" ca="1" si="0"/>
        <v>45092</v>
      </c>
      <c r="D61" s="167">
        <f>IF(B61&lt;$F$15,$F$18-E61-F61,IF(B61=$F$15,$E$17-SUM($D$28:D60),0))</f>
        <v>3441.6471922979968</v>
      </c>
      <c r="E61" s="168">
        <f>IF(B61&lt;=$F$15,(E$17*(VLOOKUP($H$2,Лист2!$A:$N,12,0)-(B61-1)*VLOOKUP($H$2,Лист2!$A:$N,13,0))),0)</f>
        <v>5249.9685000000009</v>
      </c>
      <c r="F61" s="169">
        <f>ROUND((E$17-SUM(D$29:D60))*F$9*30/365,2)</f>
        <v>732.94</v>
      </c>
      <c r="G61" s="269">
        <f t="shared" si="1"/>
        <v>9424.5556922979977</v>
      </c>
      <c r="H61" s="269"/>
      <c r="I61" s="124"/>
      <c r="J61" s="124"/>
      <c r="K61" s="132" t="str">
        <f>Лист2!A53</f>
        <v>Кредит Маркет, 30 міс.</v>
      </c>
    </row>
    <row r="62" spans="1:11" x14ac:dyDescent="0.25">
      <c r="A62" s="59"/>
      <c r="B62" s="119">
        <v>34</v>
      </c>
      <c r="C62" s="122">
        <f t="shared" ca="1" si="0"/>
        <v>45122</v>
      </c>
      <c r="D62" s="167">
        <f>IF(B62&lt;$F$15,$F$18-E62-F62,IF(B62=$F$15,$E$17-SUM($D$28:D61),0))</f>
        <v>3484.0771922979966</v>
      </c>
      <c r="E62" s="168">
        <f>IF(B62&lt;=$F$15,(E$17*(VLOOKUP($H$2,Лист2!$A:$N,12,0)-(B62-1)*VLOOKUP($H$2,Лист2!$A:$N,13,0))),0)</f>
        <v>5249.9685000000009</v>
      </c>
      <c r="F62" s="169">
        <f>ROUND((E$17-SUM(D$29:D61))*F$9*30/365,2)</f>
        <v>690.51</v>
      </c>
      <c r="G62" s="269">
        <f t="shared" si="1"/>
        <v>9424.5556922979977</v>
      </c>
      <c r="H62" s="269"/>
      <c r="I62" s="124"/>
      <c r="J62" s="124"/>
      <c r="K62" s="132" t="str">
        <f>Лист2!A54</f>
        <v>Кредит Маркет, 24 міс.</v>
      </c>
    </row>
    <row r="63" spans="1:11" x14ac:dyDescent="0.25">
      <c r="A63" s="59"/>
      <c r="B63" s="119">
        <v>35</v>
      </c>
      <c r="C63" s="122">
        <f t="shared" ca="1" si="0"/>
        <v>45153</v>
      </c>
      <c r="D63" s="167">
        <f>IF(B63&lt;$F$15,$F$18-E63-F63,IF(B63=$F$15,$E$17-SUM($D$28:D62),0))</f>
        <v>3527.0371922979966</v>
      </c>
      <c r="E63" s="168">
        <f>IF(B63&lt;=$F$15,(E$17*(VLOOKUP($H$2,Лист2!$A:$N,12,0)-(B63-1)*VLOOKUP($H$2,Лист2!$A:$N,13,0))),0)</f>
        <v>5249.9685000000009</v>
      </c>
      <c r="F63" s="169">
        <f>ROUND((E$17-SUM(D$29:D62))*F$9*30/365,2)</f>
        <v>647.54999999999995</v>
      </c>
      <c r="G63" s="269">
        <f t="shared" si="1"/>
        <v>9424.5556922979958</v>
      </c>
      <c r="H63" s="269"/>
      <c r="I63" s="124"/>
      <c r="J63" s="124"/>
      <c r="K63" s="132" t="str">
        <f>Лист2!A55</f>
        <v>Кредит Маркет, 18 міс.</v>
      </c>
    </row>
    <row r="64" spans="1:11" x14ac:dyDescent="0.25">
      <c r="A64" s="59"/>
      <c r="B64" s="119">
        <v>36</v>
      </c>
      <c r="C64" s="122">
        <f t="shared" ca="1" si="0"/>
        <v>45184</v>
      </c>
      <c r="D64" s="167">
        <f>IF(B64&lt;$F$15,$F$18-E64-F64,IF(B64=$F$15,$E$17-SUM($D$28:D63),0))</f>
        <v>3570.5171922979966</v>
      </c>
      <c r="E64" s="168">
        <f>IF(B64&lt;=$F$15,(E$17*(VLOOKUP($H$2,Лист2!$A:$N,12,0)-(B64-1)*VLOOKUP($H$2,Лист2!$A:$N,13,0))),0)</f>
        <v>5249.9685000000009</v>
      </c>
      <c r="F64" s="169">
        <f>ROUND((E$17-SUM(D$29:D63))*F$9*30/365,2)</f>
        <v>604.07000000000005</v>
      </c>
      <c r="G64" s="269">
        <f t="shared" si="1"/>
        <v>9424.5556922979977</v>
      </c>
      <c r="H64" s="269"/>
      <c r="I64" s="124"/>
      <c r="J64" s="124"/>
      <c r="K64" s="132" t="str">
        <f>Лист2!A56</f>
        <v>Кредит Маркет, 12 міс.</v>
      </c>
    </row>
    <row r="65" spans="1:11" x14ac:dyDescent="0.25">
      <c r="A65" s="59"/>
      <c r="B65" s="119">
        <v>37</v>
      </c>
      <c r="C65" s="122">
        <f t="shared" ca="1" si="0"/>
        <v>45214</v>
      </c>
      <c r="D65" s="167">
        <f>IF(B65&lt;$F$15,$F$18-E65-F65,IF(B65=$F$15,$E$17-SUM($D$28:D64),0))</f>
        <v>3614.5371922979966</v>
      </c>
      <c r="E65" s="168">
        <f>IF(B65&lt;=$F$15,(E$17*(VLOOKUP($H$2,Лист2!$A:$N,12,0)-(B65-1)*VLOOKUP($H$2,Лист2!$A:$N,13,0))),0)</f>
        <v>5249.9685000000009</v>
      </c>
      <c r="F65" s="169">
        <f>ROUND((E$17-SUM(D$29:D64))*F$9*30/365,2)</f>
        <v>560.04999999999995</v>
      </c>
      <c r="G65" s="269">
        <f t="shared" si="1"/>
        <v>9424.5556922979958</v>
      </c>
      <c r="H65" s="269"/>
      <c r="I65" s="124"/>
      <c r="J65" s="124"/>
      <c r="K65" s="132" t="str">
        <f>Лист2!A57</f>
        <v>Big Cash Х2 (ОТП), 48 міс.</v>
      </c>
    </row>
    <row r="66" spans="1:11" x14ac:dyDescent="0.25">
      <c r="A66" s="59"/>
      <c r="B66" s="119">
        <v>38</v>
      </c>
      <c r="C66" s="122">
        <f t="shared" ca="1" si="0"/>
        <v>45245</v>
      </c>
      <c r="D66" s="167">
        <f>IF(B66&lt;$F$15,$F$18-E66-F66,IF(B66=$F$15,$E$17-SUM($D$28:D65),0))</f>
        <v>3659.097192297997</v>
      </c>
      <c r="E66" s="168">
        <f>IF(B66&lt;=$F$15,(E$17*(VLOOKUP($H$2,Лист2!$A:$N,12,0)-(B66-1)*VLOOKUP($H$2,Лист2!$A:$N,13,0))),0)</f>
        <v>5249.9685000000009</v>
      </c>
      <c r="F66" s="169">
        <f>ROUND((E$17-SUM(D$29:D65))*F$9*30/365,2)</f>
        <v>515.49</v>
      </c>
      <c r="G66" s="269">
        <f t="shared" si="1"/>
        <v>9424.5556922979977</v>
      </c>
      <c r="H66" s="269"/>
      <c r="I66" s="124"/>
      <c r="J66" s="124"/>
      <c r="K66" s="132" t="str">
        <f>Лист2!A58</f>
        <v>Big Cash Х2 (ОТП), 36 міс.</v>
      </c>
    </row>
    <row r="67" spans="1:11" x14ac:dyDescent="0.25">
      <c r="A67" s="59"/>
      <c r="B67" s="119">
        <v>39</v>
      </c>
      <c r="C67" s="122">
        <f t="shared" ca="1" si="0"/>
        <v>45275</v>
      </c>
      <c r="D67" s="167">
        <f>IF(B67&lt;$F$15,$F$18-E67-F67,IF(B67=$F$15,$E$17-SUM($D$28:D66),0))</f>
        <v>3704.2071922979967</v>
      </c>
      <c r="E67" s="168">
        <f>IF(B67&lt;=$F$15,(E$17*(VLOOKUP($H$2,Лист2!$A:$N,12,0)-(B67-1)*VLOOKUP($H$2,Лист2!$A:$N,13,0))),0)</f>
        <v>5249.9685000000009</v>
      </c>
      <c r="F67" s="169">
        <f>ROUND((E$17-SUM(D$29:D66))*F$9*30/365,2)</f>
        <v>470.38</v>
      </c>
      <c r="G67" s="269">
        <f t="shared" si="1"/>
        <v>9424.5556922979977</v>
      </c>
      <c r="H67" s="269"/>
      <c r="I67" s="124"/>
      <c r="J67" s="124"/>
      <c r="K67" s="132" t="str">
        <f>Лист2!A59</f>
        <v>Big Cash Х2 (ОТП), 30 міс.</v>
      </c>
    </row>
    <row r="68" spans="1:11" x14ac:dyDescent="0.25">
      <c r="A68" s="59"/>
      <c r="B68" s="119">
        <v>40</v>
      </c>
      <c r="C68" s="122">
        <f t="shared" ca="1" si="0"/>
        <v>45306</v>
      </c>
      <c r="D68" s="167">
        <f>IF(B68&lt;$F$15,$F$18-E68-F68,IF(B68=$F$15,$E$17-SUM($D$28:D67),0))</f>
        <v>3749.8771922979968</v>
      </c>
      <c r="E68" s="168">
        <f>IF(B68&lt;=$F$15,(E$17*(VLOOKUP($H$2,Лист2!$A:$N,12,0)-(B68-1)*VLOOKUP($H$2,Лист2!$A:$N,13,0))),0)</f>
        <v>5249.9685000000009</v>
      </c>
      <c r="F68" s="169">
        <f>ROUND((E$17-SUM(D$29:D67))*F$9*30/365,2)</f>
        <v>424.71</v>
      </c>
      <c r="G68" s="269">
        <f t="shared" si="1"/>
        <v>9424.5556922979958</v>
      </c>
      <c r="H68" s="269"/>
      <c r="I68" s="124"/>
      <c r="J68" s="124"/>
      <c r="K68" s="132" t="str">
        <f>Лист2!A60</f>
        <v>Big Cash Х2 (ОТП), 24 міс.</v>
      </c>
    </row>
    <row r="69" spans="1:11" x14ac:dyDescent="0.25">
      <c r="A69" s="59"/>
      <c r="B69" s="119">
        <v>41</v>
      </c>
      <c r="C69" s="122">
        <f t="shared" ca="1" si="0"/>
        <v>45337</v>
      </c>
      <c r="D69" s="167">
        <f>IF(B69&lt;$F$15,$F$18-E69-F69,IF(B69=$F$15,$E$17-SUM($D$28:D68),0))</f>
        <v>3796.1071922979968</v>
      </c>
      <c r="E69" s="168">
        <f>IF(B69&lt;=$F$15,(E$17*(VLOOKUP($H$2,Лист2!$A:$N,12,0)-(B69-1)*VLOOKUP($H$2,Лист2!$A:$N,13,0))),0)</f>
        <v>5249.9685000000009</v>
      </c>
      <c r="F69" s="169">
        <f>ROUND((E$17-SUM(D$29:D68))*F$9*30/365,2)</f>
        <v>378.48</v>
      </c>
      <c r="G69" s="269">
        <f t="shared" si="1"/>
        <v>9424.5556922979977</v>
      </c>
      <c r="H69" s="269"/>
      <c r="I69" s="124"/>
      <c r="J69" s="124"/>
      <c r="K69" s="132" t="str">
        <f>Лист2!A61</f>
        <v>Big Cash Х2 (ОТП), 18 міс.</v>
      </c>
    </row>
    <row r="70" spans="1:11" x14ac:dyDescent="0.25">
      <c r="A70" s="59"/>
      <c r="B70" s="119">
        <v>42</v>
      </c>
      <c r="C70" s="122">
        <f t="shared" ca="1" si="0"/>
        <v>45366</v>
      </c>
      <c r="D70" s="167">
        <f>IF(B70&lt;$F$15,$F$18-E70-F70,IF(B70=$F$15,$E$17-SUM($D$28:D69),0))</f>
        <v>3842.9171922979967</v>
      </c>
      <c r="E70" s="168">
        <f>IF(B70&lt;=$F$15,(E$17*(VLOOKUP($H$2,Лист2!$A:$N,12,0)-(B70-1)*VLOOKUP($H$2,Лист2!$A:$N,13,0))),0)</f>
        <v>5249.9685000000009</v>
      </c>
      <c r="F70" s="169">
        <f>ROUND((E$17-SUM(D$29:D69))*F$9*30/365,2)</f>
        <v>331.67</v>
      </c>
      <c r="G70" s="269">
        <f t="shared" si="1"/>
        <v>9424.5556922979977</v>
      </c>
      <c r="H70" s="269"/>
      <c r="I70" s="124"/>
      <c r="J70" s="124"/>
      <c r="K70" s="132" t="str">
        <f>Лист2!A62</f>
        <v>Big Cash Х2 (ОТП), 12 міс.</v>
      </c>
    </row>
    <row r="71" spans="1:11" x14ac:dyDescent="0.25">
      <c r="A71" s="59"/>
      <c r="B71" s="119">
        <v>43</v>
      </c>
      <c r="C71" s="122">
        <f t="shared" ca="1" si="0"/>
        <v>45397</v>
      </c>
      <c r="D71" s="167">
        <f>IF(B71&lt;$F$15,$F$18-E71-F71,IF(B71=$F$15,$E$17-SUM($D$28:D70),0))</f>
        <v>3890.2871922979966</v>
      </c>
      <c r="E71" s="168">
        <f>IF(B71&lt;=$F$15,(E$17*(VLOOKUP($H$2,Лист2!$A:$N,12,0)-(B71-1)*VLOOKUP($H$2,Лист2!$A:$N,13,0))),0)</f>
        <v>5249.9685000000009</v>
      </c>
      <c r="F71" s="169">
        <f>ROUND((E$17-SUM(D$29:D70))*F$9*30/365,2)</f>
        <v>284.3</v>
      </c>
      <c r="G71" s="269">
        <f t="shared" si="1"/>
        <v>9424.5556922979958</v>
      </c>
      <c r="H71" s="269"/>
      <c r="I71" s="124"/>
      <c r="J71" s="124"/>
      <c r="K71" s="132"/>
    </row>
    <row r="72" spans="1:11" x14ac:dyDescent="0.25">
      <c r="A72" s="59"/>
      <c r="B72" s="119">
        <v>44</v>
      </c>
      <c r="C72" s="122">
        <f t="shared" ca="1" si="0"/>
        <v>45427</v>
      </c>
      <c r="D72" s="167">
        <f>IF(B72&lt;$F$15,$F$18-E72-F72,IF(B72=$F$15,$E$17-SUM($D$28:D71),0))</f>
        <v>3938.2571922979969</v>
      </c>
      <c r="E72" s="168">
        <f>IF(B72&lt;=$F$15,(E$17*(VLOOKUP($H$2,Лист2!$A:$N,12,0)-(B72-1)*VLOOKUP($H$2,Лист2!$A:$N,13,0))),0)</f>
        <v>5249.9685000000009</v>
      </c>
      <c r="F72" s="169">
        <f>ROUND((E$17-SUM(D$29:D71))*F$9*30/365,2)</f>
        <v>236.33</v>
      </c>
      <c r="G72" s="269">
        <f t="shared" si="1"/>
        <v>9424.5556922979977</v>
      </c>
      <c r="H72" s="269"/>
      <c r="I72" s="124"/>
      <c r="J72" s="124"/>
    </row>
    <row r="73" spans="1:11" x14ac:dyDescent="0.25">
      <c r="A73" s="59"/>
      <c r="B73" s="119">
        <v>45</v>
      </c>
      <c r="C73" s="122">
        <f t="shared" ca="1" si="0"/>
        <v>45458</v>
      </c>
      <c r="D73" s="167">
        <f>IF(B73&lt;$F$15,$F$18-E73-F73,IF(B73=$F$15,$E$17-SUM($D$28:D72),0))</f>
        <v>3986.8071922979966</v>
      </c>
      <c r="E73" s="168">
        <f>IF(B73&lt;=$F$15,(E$17*(VLOOKUP($H$2,Лист2!$A:$N,12,0)-(B73-1)*VLOOKUP($H$2,Лист2!$A:$N,13,0))),0)</f>
        <v>5249.9685000000009</v>
      </c>
      <c r="F73" s="169">
        <f>ROUND((E$17-SUM(D$29:D72))*F$9*30/365,2)</f>
        <v>187.78</v>
      </c>
      <c r="G73" s="269">
        <f t="shared" si="1"/>
        <v>9424.5556922979977</v>
      </c>
      <c r="H73" s="269"/>
      <c r="I73" s="124"/>
      <c r="J73" s="124"/>
    </row>
    <row r="74" spans="1:11" x14ac:dyDescent="0.25">
      <c r="A74" s="59"/>
      <c r="B74" s="119">
        <v>46</v>
      </c>
      <c r="C74" s="122">
        <f t="shared" ca="1" si="0"/>
        <v>45488</v>
      </c>
      <c r="D74" s="167">
        <f>IF(B74&lt;$F$15,$F$18-E74-F74,IF(B74=$F$15,$E$17-SUM($D$28:D73),0))</f>
        <v>4035.9571922979967</v>
      </c>
      <c r="E74" s="168">
        <f>IF(B74&lt;=$F$15,(E$17*(VLOOKUP($H$2,Лист2!$A:$N,12,0)-(B74-1)*VLOOKUP($H$2,Лист2!$A:$N,13,0))),0)</f>
        <v>5249.9685000000009</v>
      </c>
      <c r="F74" s="169">
        <f>ROUND((E$17-SUM(D$29:D73))*F$9*30/365,2)</f>
        <v>138.63</v>
      </c>
      <c r="G74" s="269">
        <f t="shared" si="1"/>
        <v>9424.5556922979977</v>
      </c>
      <c r="H74" s="269"/>
      <c r="I74" s="124"/>
      <c r="J74" s="124"/>
    </row>
    <row r="75" spans="1:11" x14ac:dyDescent="0.25">
      <c r="A75" s="59"/>
      <c r="B75" s="119">
        <v>47</v>
      </c>
      <c r="C75" s="122">
        <f t="shared" ca="1" si="0"/>
        <v>45519</v>
      </c>
      <c r="D75" s="167">
        <f>IF(B75&lt;$F$15,$F$18-E75-F75,IF(B75=$F$15,$E$17-SUM($D$28:D74),0))</f>
        <v>4085.7171922979969</v>
      </c>
      <c r="E75" s="168">
        <f>IF(B75&lt;=$F$15,(E$17*(VLOOKUP($H$2,Лист2!$A:$N,12,0)-(B75-1)*VLOOKUP($H$2,Лист2!$A:$N,13,0))),0)</f>
        <v>5249.9685000000009</v>
      </c>
      <c r="F75" s="169">
        <f>ROUND((E$17-SUM(D$29:D74))*F$9*30/365,2)</f>
        <v>88.87</v>
      </c>
      <c r="G75" s="269">
        <f t="shared" si="1"/>
        <v>9424.5556922979977</v>
      </c>
      <c r="H75" s="269"/>
      <c r="I75" s="124"/>
      <c r="J75" s="124"/>
    </row>
    <row r="76" spans="1:11" ht="13.8" thickBot="1" x14ac:dyDescent="0.3">
      <c r="A76" s="59"/>
      <c r="B76" s="119">
        <v>48</v>
      </c>
      <c r="C76" s="122">
        <f t="shared" ca="1" si="0"/>
        <v>45550</v>
      </c>
      <c r="D76" s="167">
        <f>IF(B76&lt;$F$15,$F$18-E76-F76,IF(B76=$F$15,$E$17-SUM($D$28:D75),0))</f>
        <v>3122.5419619941385</v>
      </c>
      <c r="E76" s="168">
        <f>IF(B76&lt;=$F$15,(E$17*(VLOOKUP($H$2,Лист2!$A:$N,12,0)-(B76-1)*VLOOKUP($H$2,Лист2!$A:$N,13,0))),0)</f>
        <v>5249.9685000000009</v>
      </c>
      <c r="F76" s="169">
        <f>ROUND((E$17-SUM(D$29:D75))*F$9*30/365,2)</f>
        <v>38.5</v>
      </c>
      <c r="G76" s="269">
        <f t="shared" si="1"/>
        <v>8411.0104619941394</v>
      </c>
      <c r="H76" s="269"/>
      <c r="I76" s="124"/>
      <c r="J76" s="124"/>
    </row>
    <row r="77" spans="1:11" ht="13.8" hidden="1" thickBot="1" x14ac:dyDescent="0.3">
      <c r="A77" s="59"/>
      <c r="B77" s="119">
        <v>49</v>
      </c>
      <c r="C77" s="122">
        <f t="shared" ca="1" si="0"/>
        <v>45580</v>
      </c>
      <c r="D77" s="167">
        <f>IF(B77&lt;$F$15,$F$18-E77-F77,IF(B77=$F$15,$E$17-SUM($D$28:D76),0))</f>
        <v>0</v>
      </c>
      <c r="E77" s="168">
        <f>IF(B77&lt;=$F$15,(E$17*(VLOOKUP($H$2,Лист2!$A:$N,12,0)-(B77-1)*VLOOKUP($H$2,Лист2!$A:$N,13,0))),0)</f>
        <v>0</v>
      </c>
      <c r="F77" s="169">
        <f>ROUND((E$17-SUM(D$29:D76))*F$9*30/365,2)</f>
        <v>0</v>
      </c>
      <c r="G77" s="269">
        <f t="shared" si="1"/>
        <v>0</v>
      </c>
      <c r="H77" s="269"/>
      <c r="I77" s="124"/>
      <c r="J77" s="124"/>
    </row>
    <row r="78" spans="1:11" ht="13.8" hidden="1" thickBot="1" x14ac:dyDescent="0.3">
      <c r="A78" s="59"/>
      <c r="B78" s="119">
        <v>50</v>
      </c>
      <c r="C78" s="122">
        <f t="shared" ca="1" si="0"/>
        <v>45611</v>
      </c>
      <c r="D78" s="167">
        <f>IF(B78&lt;$F$15,$F$18-E78-F78,IF(B78=$F$15,$E$17-SUM($D$28:D77),0))</f>
        <v>0</v>
      </c>
      <c r="E78" s="168">
        <f>IF(B78&lt;=$F$15,(E$17*(VLOOKUP($H$2,Лист2!$A:$N,12,0)-(B78-1)*VLOOKUP($H$2,Лист2!$A:$N,13,0))),0)</f>
        <v>0</v>
      </c>
      <c r="F78" s="169">
        <f>ROUND((E$17-SUM(D$29:D77))*F$9*30/365,2)</f>
        <v>0</v>
      </c>
      <c r="G78" s="269">
        <f t="shared" si="1"/>
        <v>0</v>
      </c>
      <c r="H78" s="269"/>
      <c r="I78" s="124"/>
      <c r="J78" s="124"/>
    </row>
    <row r="79" spans="1:11" ht="13.8" hidden="1" thickBot="1" x14ac:dyDescent="0.3">
      <c r="A79" s="59"/>
      <c r="B79" s="119">
        <v>51</v>
      </c>
      <c r="C79" s="122">
        <f t="shared" ca="1" si="0"/>
        <v>45641</v>
      </c>
      <c r="D79" s="167">
        <f>IF(B79&lt;$F$15,$F$18-E79-F79,IF(B79=$F$15,$E$17-SUM($D$28:D78),0))</f>
        <v>0</v>
      </c>
      <c r="E79" s="168">
        <f>IF(B79&lt;=$F$15,(E$17*(VLOOKUP($H$2,Лист2!$A:$N,12,0)-(B79-1)*VLOOKUP($H$2,Лист2!$A:$N,13,0))),0)</f>
        <v>0</v>
      </c>
      <c r="F79" s="169">
        <f>ROUND((E$17-SUM(D$29:D78))*F$9*30/365,2)</f>
        <v>0</v>
      </c>
      <c r="G79" s="269">
        <f t="shared" si="1"/>
        <v>0</v>
      </c>
      <c r="H79" s="269"/>
      <c r="I79" s="124"/>
      <c r="J79" s="124"/>
    </row>
    <row r="80" spans="1:11" ht="13.8" hidden="1" thickBot="1" x14ac:dyDescent="0.3">
      <c r="A80" s="59"/>
      <c r="B80" s="119">
        <v>52</v>
      </c>
      <c r="C80" s="122">
        <f t="shared" ca="1" si="0"/>
        <v>45672</v>
      </c>
      <c r="D80" s="167">
        <f>IF(B80&lt;$F$15,$F$18-E80-F80,IF(B80=$F$15,$E$17-SUM($D$28:D79),0))</f>
        <v>0</v>
      </c>
      <c r="E80" s="168">
        <f>IF(B80&lt;=$F$15,(E$17*(VLOOKUP($H$2,Лист2!$A:$N,12,0)-(B80-1)*VLOOKUP($H$2,Лист2!$A:$N,13,0))),0)</f>
        <v>0</v>
      </c>
      <c r="F80" s="169">
        <f>ROUND((E$17-SUM(D$29:D79))*F$9*30/365,2)</f>
        <v>0</v>
      </c>
      <c r="G80" s="269">
        <f t="shared" si="1"/>
        <v>0</v>
      </c>
      <c r="H80" s="269"/>
      <c r="I80" s="124"/>
      <c r="J80" s="124"/>
    </row>
    <row r="81" spans="1:10" ht="13.8" hidden="1" thickBot="1" x14ac:dyDescent="0.3">
      <c r="A81" s="59"/>
      <c r="B81" s="119">
        <v>53</v>
      </c>
      <c r="C81" s="122">
        <f t="shared" ca="1" si="0"/>
        <v>45703</v>
      </c>
      <c r="D81" s="167">
        <f>IF(B81&lt;$F$15,$F$18-E81-F81,IF(B81=$F$15,$E$17-SUM($D$28:D80),0))</f>
        <v>0</v>
      </c>
      <c r="E81" s="168">
        <f>IF(B81&lt;=$F$15,(E$17*(VLOOKUP($H$2,Лист2!$A:$N,12,0)-(B81-1)*VLOOKUP($H$2,Лист2!$A:$N,13,0))),0)</f>
        <v>0</v>
      </c>
      <c r="F81" s="169">
        <f>ROUND((E$17-SUM(D$29:D80))*F$9*30/365,2)</f>
        <v>0</v>
      </c>
      <c r="G81" s="269">
        <f t="shared" si="1"/>
        <v>0</v>
      </c>
      <c r="H81" s="269"/>
      <c r="I81" s="124"/>
      <c r="J81" s="124"/>
    </row>
    <row r="82" spans="1:10" ht="13.8" hidden="1" thickBot="1" x14ac:dyDescent="0.3">
      <c r="A82" s="59"/>
      <c r="B82" s="119">
        <v>54</v>
      </c>
      <c r="C82" s="122">
        <f t="shared" ca="1" si="0"/>
        <v>45731</v>
      </c>
      <c r="D82" s="167">
        <f>IF(B82&lt;$F$15,$F$18-E82-F82,IF(B82=$F$15,$E$17-SUM($D$28:D81),0))</f>
        <v>0</v>
      </c>
      <c r="E82" s="168">
        <f>IF(B82&lt;=$F$15,(E$17*(VLOOKUP($H$2,Лист2!$A:$N,12,0)-(B82-1)*VLOOKUP($H$2,Лист2!$A:$N,13,0))),0)</f>
        <v>0</v>
      </c>
      <c r="F82" s="169">
        <f>ROUND((E$17-SUM(D$29:D81))*F$9*30/365,2)</f>
        <v>0</v>
      </c>
      <c r="G82" s="269">
        <f t="shared" si="1"/>
        <v>0</v>
      </c>
      <c r="H82" s="269"/>
      <c r="I82" s="124"/>
      <c r="J82" s="124"/>
    </row>
    <row r="83" spans="1:10" ht="13.8" hidden="1" thickBot="1" x14ac:dyDescent="0.3">
      <c r="A83" s="59"/>
      <c r="B83" s="119">
        <v>55</v>
      </c>
      <c r="C83" s="122">
        <f t="shared" ca="1" si="0"/>
        <v>45762</v>
      </c>
      <c r="D83" s="167">
        <f>IF(B83&lt;$F$15,$F$18-E83-F83,IF(B83=$F$15,$E$17-SUM($D$28:D82),0))</f>
        <v>0</v>
      </c>
      <c r="E83" s="168">
        <f>IF(B83&lt;=$F$15,(E$17*(VLOOKUP($H$2,Лист2!$A:$N,12,0)-(B83-1)*VLOOKUP($H$2,Лист2!$A:$N,13,0))),0)</f>
        <v>0</v>
      </c>
      <c r="F83" s="169">
        <f>ROUND((E$17-SUM(D$29:D82))*F$9*30/365,2)</f>
        <v>0</v>
      </c>
      <c r="G83" s="269">
        <f t="shared" si="1"/>
        <v>0</v>
      </c>
      <c r="H83" s="269"/>
      <c r="I83" s="124"/>
      <c r="J83" s="124"/>
    </row>
    <row r="84" spans="1:10" ht="13.8" hidden="1" thickBot="1" x14ac:dyDescent="0.3">
      <c r="A84" s="59"/>
      <c r="B84" s="119">
        <v>56</v>
      </c>
      <c r="C84" s="122">
        <f t="shared" ca="1" si="0"/>
        <v>45792</v>
      </c>
      <c r="D84" s="167">
        <f>IF(B84&lt;$F$15,$F$18-E84-F84,IF(B84=$F$15,$E$17-SUM($D$28:D83),0))</f>
        <v>0</v>
      </c>
      <c r="E84" s="168">
        <f>IF(B84&lt;=$F$15,(E$17*(VLOOKUP($H$2,Лист2!$A:$N,12,0)-(B84-1)*VLOOKUP($H$2,Лист2!$A:$N,13,0))),0)</f>
        <v>0</v>
      </c>
      <c r="F84" s="169">
        <f>ROUND((E$17-SUM(D$29:D83))*F$9*30/365,2)</f>
        <v>0</v>
      </c>
      <c r="G84" s="269">
        <f t="shared" si="1"/>
        <v>0</v>
      </c>
      <c r="H84" s="269"/>
      <c r="I84" s="124"/>
      <c r="J84" s="124"/>
    </row>
    <row r="85" spans="1:10" ht="13.8" hidden="1" thickBot="1" x14ac:dyDescent="0.3">
      <c r="A85" s="59"/>
      <c r="B85" s="119">
        <v>57</v>
      </c>
      <c r="C85" s="122">
        <f t="shared" ca="1" si="0"/>
        <v>45823</v>
      </c>
      <c r="D85" s="167">
        <f>IF(B85&lt;$F$15,$F$18-E85-F85,IF(B85=$F$15,$E$17-SUM($D$28:D84),0))</f>
        <v>0</v>
      </c>
      <c r="E85" s="168">
        <f>IF(B85&lt;=$F$15,(E$17*(VLOOKUP($H$2,Лист2!$A:$N,12,0)-(B85-1)*VLOOKUP($H$2,Лист2!$A:$N,13,0))),0)</f>
        <v>0</v>
      </c>
      <c r="F85" s="169">
        <f>ROUND((E$17-SUM(D$29:D84))*F$9*30/365,2)</f>
        <v>0</v>
      </c>
      <c r="G85" s="269">
        <f t="shared" si="1"/>
        <v>0</v>
      </c>
      <c r="H85" s="269"/>
      <c r="I85" s="124"/>
      <c r="J85" s="124"/>
    </row>
    <row r="86" spans="1:10" ht="13.8" hidden="1" thickBot="1" x14ac:dyDescent="0.3">
      <c r="A86" s="59"/>
      <c r="B86" s="119">
        <v>58</v>
      </c>
      <c r="C86" s="122">
        <f t="shared" ca="1" si="0"/>
        <v>45853</v>
      </c>
      <c r="D86" s="167">
        <f>IF(B86&lt;$F$15,$F$18-E86-F86,IF(B86=$F$15,$E$17-SUM($D$28:D85),0))</f>
        <v>0</v>
      </c>
      <c r="E86" s="168">
        <f>IF(B86&lt;=$F$15,(E$17*(VLOOKUP($H$2,Лист2!$A:$N,12,0)-(B86-1)*VLOOKUP($H$2,Лист2!$A:$N,13,0))),0)</f>
        <v>0</v>
      </c>
      <c r="F86" s="169">
        <f>ROUND((E$17-SUM(D$29:D85))*F$9*30/365,2)</f>
        <v>0</v>
      </c>
      <c r="G86" s="269">
        <f t="shared" si="1"/>
        <v>0</v>
      </c>
      <c r="H86" s="269"/>
      <c r="I86" s="124"/>
      <c r="J86" s="124"/>
    </row>
    <row r="87" spans="1:10" ht="13.8" hidden="1" thickBot="1" x14ac:dyDescent="0.3">
      <c r="A87" s="59"/>
      <c r="B87" s="119">
        <v>59</v>
      </c>
      <c r="C87" s="122">
        <f t="shared" ca="1" si="0"/>
        <v>45884</v>
      </c>
      <c r="D87" s="167">
        <f>IF(B87&lt;$F$15,$F$18-E87-F87,IF(B87=$F$15,$E$17-SUM($D$28:D86),0))</f>
        <v>0</v>
      </c>
      <c r="E87" s="168">
        <f>IF(B87&lt;=$F$15,(E$17*(VLOOKUP($H$2,Лист2!$A:$N,12,0)-(B87-1)*VLOOKUP($H$2,Лист2!$A:$N,13,0))),0)</f>
        <v>0</v>
      </c>
      <c r="F87" s="169">
        <f>ROUND((E$17-SUM(D$29:D86))*F$9*30/365,2)</f>
        <v>0</v>
      </c>
      <c r="G87" s="269">
        <f t="shared" si="1"/>
        <v>0</v>
      </c>
      <c r="H87" s="269"/>
      <c r="I87" s="124"/>
      <c r="J87" s="124"/>
    </row>
    <row r="88" spans="1:10" ht="13.8" hidden="1" thickBot="1" x14ac:dyDescent="0.3">
      <c r="A88" s="59"/>
      <c r="B88" s="163">
        <v>60</v>
      </c>
      <c r="C88" s="164">
        <f t="shared" ca="1" si="0"/>
        <v>45915</v>
      </c>
      <c r="D88" s="170">
        <f>IF(B88&lt;$F$15,$F$18-E88-F88,IF(B88=$F$15,$E$17-SUM($D$28:D87),0))</f>
        <v>0</v>
      </c>
      <c r="E88" s="171">
        <f>IF(B88&lt;=$F$15,(E$17*(VLOOKUP($H$2,Лист2!$A:$N,12,0)-(B88-1)*VLOOKUP($H$2,Лист2!$A:$N,13,0))),0)</f>
        <v>0</v>
      </c>
      <c r="F88" s="172">
        <f>ROUND((E$17-SUM(D$29:D87))*F$9*30/365,2)</f>
        <v>0</v>
      </c>
      <c r="G88" s="270">
        <f t="shared" si="1"/>
        <v>0</v>
      </c>
      <c r="H88" s="270"/>
      <c r="I88" s="124"/>
      <c r="J88" s="124"/>
    </row>
    <row r="89" spans="1:10" ht="16.2" thickBot="1" x14ac:dyDescent="0.3">
      <c r="A89" s="59"/>
      <c r="B89" s="261" t="s">
        <v>1</v>
      </c>
      <c r="C89" s="262"/>
      <c r="D89" s="174">
        <f>SUM(D29:D88)</f>
        <v>149999.1</v>
      </c>
      <c r="E89" s="174">
        <f>SUM(E29:E88)</f>
        <v>251998.48799999978</v>
      </c>
      <c r="F89" s="174">
        <f>SUM(F29:F88)</f>
        <v>49367.539999999994</v>
      </c>
      <c r="G89" s="263">
        <f>SUM(G29:H88)</f>
        <v>451365.12799999979</v>
      </c>
      <c r="H89" s="264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265" t="s">
        <v>3</v>
      </c>
      <c r="F91" s="265"/>
      <c r="G91" s="265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$K$65:$K$70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Головна</vt:lpstr>
      <vt:lpstr>Кредит готівкою ПУМБ</vt:lpstr>
      <vt:lpstr>"Біг Кеш" ПУМБ</vt:lpstr>
      <vt:lpstr>Консолідований Х</vt:lpstr>
      <vt:lpstr>Для Вас Х</vt:lpstr>
      <vt:lpstr>Бюджетний Х</vt:lpstr>
      <vt:lpstr>Пенсійний Х</vt:lpstr>
      <vt:lpstr>Біг Кеш (ОТП) </vt:lpstr>
      <vt:lpstr>Біг Кеш Х2 (ОТП)</vt:lpstr>
      <vt:lpstr>Кредит Маркет</vt:lpstr>
      <vt:lpstr>Смарт Фінанс</vt:lpstr>
      <vt:lpstr>Лист2</vt:lpstr>
      <vt:lpstr>Назви</vt:lpstr>
      <vt:lpstr>'"Біг Кеш" ПУМБ'!Область_печати</vt:lpstr>
      <vt:lpstr>'Біг Кеш (ОТП) '!Область_печати</vt:lpstr>
      <vt:lpstr>'Біг Кеш Х2 (ОТП)'!Область_печати</vt:lpstr>
      <vt:lpstr>'Бюджетний Х'!Область_печати</vt:lpstr>
      <vt:lpstr>'Для Вас Х'!Область_печати</vt:lpstr>
      <vt:lpstr>'Консолідований Х'!Область_печати</vt:lpstr>
      <vt:lpstr>'Кредит готівкою ПУМБ'!Область_печати</vt:lpstr>
      <vt:lpstr>'Кредит Маркет'!Область_печати</vt:lpstr>
      <vt:lpstr>'Пенсійний Х'!Область_печати</vt:lpstr>
      <vt:lpstr>'Смарт Фінанс'!Область_печати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Барткевич Олег</cp:lastModifiedBy>
  <cp:lastPrinted>2020-02-12T09:25:28Z</cp:lastPrinted>
  <dcterms:created xsi:type="dcterms:W3CDTF">2008-03-13T06:51:50Z</dcterms:created>
  <dcterms:modified xsi:type="dcterms:W3CDTF">2020-09-15T11:33:00Z</dcterms:modified>
</cp:coreProperties>
</file>