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368" yWindow="65476" windowWidth="9936" windowHeight="7800" tabRatio="194" activeTab="0"/>
  </bookViews>
  <sheets>
    <sheet name="Калькулятор" sheetId="1" r:id="rId1"/>
  </sheets>
  <definedNames>
    <definedName name="avans2">#REF!</definedName>
    <definedName name="data2">#REF!</definedName>
    <definedName name="LastFIO" localSheetId="0">'Калькулятор'!#REF!</definedName>
    <definedName name="proc2">#REF!</definedName>
    <definedName name="stoimost2">#REF!</definedName>
    <definedName name="strok2">#REF!</definedName>
    <definedName name="sumkred2">#REF!</definedName>
    <definedName name="sumproplat2">#REF!</definedName>
    <definedName name="_xlnm.Print_Area" localSheetId="0">'Калькулятор'!$B$1:$M$42</definedName>
  </definedNames>
  <calcPr fullCalcOnLoad="1"/>
</workbook>
</file>

<file path=xl/sharedStrings.xml><?xml version="1.0" encoding="utf-8"?>
<sst xmlns="http://schemas.openxmlformats.org/spreadsheetml/2006/main" count="47" uniqueCount="42">
  <si>
    <t>У тому числі:</t>
  </si>
  <si>
    <t>проценти за користування кредитом</t>
  </si>
  <si>
    <t>платежі за надані супутні послуги</t>
  </si>
  <si>
    <t>на користь банку, у тому числі за:</t>
  </si>
  <si>
    <t>розрахунково-касове обслуговування</t>
  </si>
  <si>
    <t>на користь третіх осіб, пов’язані із:</t>
  </si>
  <si>
    <t>страхуванням</t>
  </si>
  <si>
    <t>послугами нотаріусів</t>
  </si>
  <si>
    <t>іншими послугами (біржові збори, послуги реєстраторів тощо)</t>
  </si>
  <si>
    <t>5.1</t>
  </si>
  <si>
    <t>Х</t>
  </si>
  <si>
    <t>Залишок заборгованості</t>
  </si>
  <si>
    <t>Підключено M-banking</t>
  </si>
  <si>
    <t>так</t>
  </si>
  <si>
    <t>ні</t>
  </si>
  <si>
    <t>Інші послуги, якими можливо скористатися</t>
  </si>
  <si>
    <t>при обслуговуванні - тарифний план</t>
  </si>
  <si>
    <t>5.2</t>
  </si>
  <si>
    <t>5.3</t>
  </si>
  <si>
    <t>6.1</t>
  </si>
  <si>
    <t>6.2</t>
  </si>
  <si>
    <t>6.3</t>
  </si>
  <si>
    <t>Дата платежу/ День отримання овердрафту</t>
  </si>
  <si>
    <t>погашення основної суми кредиту/розмір ліміту</t>
  </si>
  <si>
    <t>Реальна процентна ставка, 
% річних
(максимальна)</t>
  </si>
  <si>
    <t>Абсолютне значення подорожчання кредиту, гривень
(максимальне)</t>
  </si>
  <si>
    <t>Комісія за видачу готівки 
в установах та банкоматах</t>
  </si>
  <si>
    <t>Комісія за обслуговування (SMS)</t>
  </si>
  <si>
    <t>Максимальний розмір щомісячного платежу (в перший місяць користування кредитом)</t>
  </si>
  <si>
    <t>грн.</t>
  </si>
  <si>
    <t>Розрахунок містить наступні припущення:
1. Терміні дії кредитного ліміту складає 12 місяців.
2. Клієнт повністю скористався кредитом в перший день дії кредиту шляхом здійснення торгової операції.
3. Протягом дії кредиту здійснюється тільки щомісячна сплата обо`язкового мінімального платежу.
4. Погашення основної суми боргу здійснюється в останній день дії кредиту.</t>
  </si>
  <si>
    <t>ОМП</t>
  </si>
  <si>
    <t>РКО</t>
  </si>
  <si>
    <t xml:space="preserve">Строк дыъ </t>
  </si>
  <si>
    <t>Страховка</t>
  </si>
  <si>
    <t>Безкоштовна гаряча телефонна лінія:
0 800 505 20 30</t>
  </si>
  <si>
    <t>Процентна ставка, річних</t>
  </si>
  <si>
    <t>Введіть бажаний розмір Кредитного ліміту</t>
  </si>
  <si>
    <t>Орієнтовні загальні витрати за кредитом, гривень</t>
  </si>
  <si>
    <t>Орієнтовна загальна вартість кредиту для клієнта, гривень</t>
  </si>
  <si>
    <t>Добровільне страхування життя (щомісячно від розміру заборгованості)</t>
  </si>
  <si>
    <t>Орієнтовна реальна річна процентна ставка, річних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</si>
</sst>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#,##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8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sz val="8"/>
      <color indexed="23"/>
      <name val="Arial Cyr"/>
      <family val="2"/>
    </font>
    <font>
      <b/>
      <sz val="8"/>
      <color indexed="10"/>
      <name val="Arial Cyr"/>
      <family val="2"/>
    </font>
    <font>
      <sz val="14"/>
      <name val="Arial Cyr"/>
      <family val="2"/>
    </font>
    <font>
      <sz val="8"/>
      <color indexed="9"/>
      <name val="Arial Cyr"/>
      <family val="2"/>
    </font>
    <font>
      <b/>
      <sz val="8"/>
      <name val="Arial Cyr"/>
      <family val="2"/>
    </font>
    <font>
      <sz val="14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2"/>
    </font>
    <font>
      <sz val="8"/>
      <color indexed="10"/>
      <name val="Arial Cyr"/>
      <family val="2"/>
    </font>
    <font>
      <b/>
      <sz val="8"/>
      <color indexed="9"/>
      <name val="Arial Cyr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  <font>
      <sz val="14"/>
      <color rgb="FFFF0000"/>
      <name val="Arial Cyr"/>
      <family val="2"/>
    </font>
    <font>
      <sz val="8"/>
      <color rgb="FFFF0000"/>
      <name val="Arial Cyr"/>
      <family val="2"/>
    </font>
    <font>
      <b/>
      <sz val="8"/>
      <color theme="0"/>
      <name val="Arial Cyr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/>
    </xf>
    <xf numFmtId="0" fontId="52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2" fillId="33" borderId="0" xfId="0" applyFont="1" applyFill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left"/>
      <protection/>
    </xf>
    <xf numFmtId="185" fontId="7" fillId="0" borderId="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14" fontId="3" fillId="0" borderId="10" xfId="0" applyNumberFormat="1" applyFont="1" applyBorder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10" fontId="3" fillId="0" borderId="10" xfId="0" applyNumberFormat="1" applyFont="1" applyBorder="1" applyAlignment="1" applyProtection="1">
      <alignment horizontal="center" vertical="top"/>
      <protection/>
    </xf>
    <xf numFmtId="1" fontId="3" fillId="0" borderId="10" xfId="0" applyNumberFormat="1" applyFont="1" applyBorder="1" applyAlignment="1" applyProtection="1">
      <alignment horizontal="left"/>
      <protection/>
    </xf>
    <xf numFmtId="0" fontId="55" fillId="0" borderId="0" xfId="0" applyFont="1" applyAlignment="1" applyProtection="1">
      <alignment/>
      <protection/>
    </xf>
    <xf numFmtId="10" fontId="3" fillId="0" borderId="10" xfId="57" applyNumberFormat="1" applyFont="1" applyBorder="1" applyAlignment="1" applyProtection="1">
      <alignment horizontal="center" vertical="top"/>
      <protection/>
    </xf>
    <xf numFmtId="3" fontId="3" fillId="0" borderId="10" xfId="0" applyNumberFormat="1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 vertical="top"/>
      <protection/>
    </xf>
    <xf numFmtId="9" fontId="3" fillId="0" borderId="10" xfId="0" applyNumberFormat="1" applyFont="1" applyBorder="1" applyAlignment="1" applyProtection="1">
      <alignment horizontal="left"/>
      <protection/>
    </xf>
    <xf numFmtId="9" fontId="3" fillId="0" borderId="10" xfId="57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vertical="top"/>
      <protection/>
    </xf>
    <xf numFmtId="9" fontId="3" fillId="0" borderId="10" xfId="57" applyFont="1" applyBorder="1" applyAlignment="1" applyProtection="1">
      <alignment horizontal="left" vertical="top"/>
      <protection/>
    </xf>
    <xf numFmtId="9" fontId="3" fillId="0" borderId="10" xfId="0" applyNumberFormat="1" applyFont="1" applyBorder="1" applyAlignment="1" applyProtection="1">
      <alignment horizontal="left" vertical="top"/>
      <protection/>
    </xf>
    <xf numFmtId="184" fontId="8" fillId="33" borderId="10" xfId="0" applyNumberFormat="1" applyFont="1" applyFill="1" applyBorder="1" applyAlignment="1" applyProtection="1">
      <alignment horizontal="center" vertical="top"/>
      <protection/>
    </xf>
    <xf numFmtId="4" fontId="3" fillId="33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vertical="top" wrapText="1"/>
      <protection/>
    </xf>
    <xf numFmtId="0" fontId="3" fillId="0" borderId="13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 vertical="top"/>
      <protection/>
    </xf>
    <xf numFmtId="0" fontId="3" fillId="0" borderId="14" xfId="0" applyFont="1" applyBorder="1" applyAlignment="1" applyProtection="1">
      <alignment vertical="top" wrapText="1"/>
      <protection/>
    </xf>
    <xf numFmtId="0" fontId="3" fillId="0" borderId="14" xfId="0" applyFont="1" applyBorder="1" applyAlignment="1" applyProtection="1">
      <alignment horizontal="left" vertical="top" wrapText="1"/>
      <protection/>
    </xf>
    <xf numFmtId="0" fontId="3" fillId="0" borderId="15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14" fontId="3" fillId="0" borderId="15" xfId="0" applyNumberFormat="1" applyFont="1" applyBorder="1" applyAlignment="1" applyProtection="1">
      <alignment horizontal="left"/>
      <protection/>
    </xf>
    <xf numFmtId="4" fontId="3" fillId="0" borderId="15" xfId="0" applyNumberFormat="1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/>
      <protection/>
    </xf>
    <xf numFmtId="4" fontId="3" fillId="0" borderId="15" xfId="0" applyNumberFormat="1" applyFont="1" applyBorder="1" applyAlignment="1" applyProtection="1">
      <alignment horizontal="right"/>
      <protection/>
    </xf>
    <xf numFmtId="4" fontId="4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10" fontId="3" fillId="0" borderId="15" xfId="57" applyNumberFormat="1" applyFont="1" applyBorder="1" applyAlignment="1" applyProtection="1">
      <alignment horizontal="center"/>
      <protection/>
    </xf>
    <xf numFmtId="4" fontId="3" fillId="0" borderId="15" xfId="0" applyNumberFormat="1" applyFont="1" applyBorder="1" applyAlignment="1" applyProtection="1">
      <alignment horizontal="center"/>
      <protection/>
    </xf>
    <xf numFmtId="3" fontId="5" fillId="0" borderId="0" xfId="0" applyNumberFormat="1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justify" vertical="center"/>
      <protection/>
    </xf>
    <xf numFmtId="14" fontId="9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3" fontId="56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 vertical="top"/>
      <protection/>
    </xf>
    <xf numFmtId="9" fontId="56" fillId="0" borderId="0" xfId="57" applyFont="1" applyFill="1" applyBorder="1" applyAlignment="1" applyProtection="1">
      <alignment horizontal="center"/>
      <protection locked="0"/>
    </xf>
    <xf numFmtId="0" fontId="56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3" fontId="57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/>
      <protection/>
    </xf>
    <xf numFmtId="9" fontId="56" fillId="0" borderId="0" xfId="57" applyFont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/>
    </xf>
    <xf numFmtId="3" fontId="56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10" fontId="56" fillId="0" borderId="0" xfId="0" applyNumberFormat="1" applyFont="1" applyFill="1" applyBorder="1" applyAlignment="1" applyProtection="1">
      <alignment horizontal="center"/>
      <protection/>
    </xf>
    <xf numFmtId="0" fontId="57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0" fontId="3" fillId="0" borderId="19" xfId="0" applyFont="1" applyBorder="1" applyAlignment="1" applyProtection="1">
      <alignment horizontal="left" vertical="top" wrapText="1"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 applyProtection="1">
      <alignment horizontal="center" vertical="top" wrapText="1"/>
      <protection/>
    </xf>
    <xf numFmtId="0" fontId="3" fillId="0" borderId="17" xfId="0" applyFont="1" applyBorder="1" applyAlignment="1" applyProtection="1">
      <alignment horizontal="center" vertical="top" wrapText="1"/>
      <protection/>
    </xf>
    <xf numFmtId="0" fontId="3" fillId="0" borderId="16" xfId="0" applyFont="1" applyBorder="1" applyAlignment="1" applyProtection="1" quotePrefix="1">
      <alignment horizontal="center" vertical="top" wrapText="1"/>
      <protection/>
    </xf>
    <xf numFmtId="0" fontId="3" fillId="0" borderId="20" xfId="0" applyFont="1" applyBorder="1" applyAlignment="1" applyProtection="1" quotePrefix="1">
      <alignment horizontal="center" vertical="top" wrapText="1"/>
      <protection/>
    </xf>
    <xf numFmtId="0" fontId="3" fillId="0" borderId="17" xfId="0" applyFont="1" applyBorder="1" applyAlignment="1" applyProtection="1" quotePrefix="1">
      <alignment horizontal="center" vertical="top" wrapText="1"/>
      <protection/>
    </xf>
    <xf numFmtId="0" fontId="11" fillId="2" borderId="0" xfId="0" applyFont="1" applyFill="1" applyBorder="1" applyAlignment="1" applyProtection="1">
      <alignment horizontal="left" vertical="top"/>
      <protection/>
    </xf>
    <xf numFmtId="0" fontId="9" fillId="0" borderId="0" xfId="0" applyFont="1" applyAlignment="1" applyProtection="1">
      <alignment horizontal="center" vertical="top" wrapText="1"/>
      <protection/>
    </xf>
    <xf numFmtId="0" fontId="9" fillId="0" borderId="0" xfId="0" applyFont="1" applyAlignment="1" applyProtection="1">
      <alignment horizontal="left" vertical="top" wrapText="1"/>
      <protection/>
    </xf>
    <xf numFmtId="0" fontId="12" fillId="34" borderId="0" xfId="0" applyFont="1" applyFill="1" applyBorder="1" applyAlignment="1" applyProtection="1">
      <alignment horizontal="lef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49</xdr:row>
      <xdr:rowOff>28575</xdr:rowOff>
    </xdr:from>
    <xdr:to>
      <xdr:col>3</xdr:col>
      <xdr:colOff>485775</xdr:colOff>
      <xdr:row>49</xdr:row>
      <xdr:rowOff>428625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2085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P70"/>
  <sheetViews>
    <sheetView showGridLines="0" tabSelected="1" zoomScale="85" zoomScaleNormal="85" zoomScaleSheetLayoutView="97" workbookViewId="0" topLeftCell="B50">
      <selection activeCell="B64" sqref="B64"/>
    </sheetView>
  </sheetViews>
  <sheetFormatPr defaultColWidth="0" defaultRowHeight="12.75" zeroHeight="1"/>
  <cols>
    <col min="1" max="1" width="0" style="5" hidden="1" customWidth="1"/>
    <col min="2" max="2" width="8.875" style="5" customWidth="1"/>
    <col min="3" max="3" width="13.50390625" style="5" customWidth="1"/>
    <col min="4" max="4" width="11.50390625" style="5" customWidth="1"/>
    <col min="5" max="5" width="11.50390625" style="12" customWidth="1"/>
    <col min="6" max="6" width="12.00390625" style="12" customWidth="1"/>
    <col min="7" max="7" width="12.875" style="5" customWidth="1"/>
    <col min="8" max="8" width="39.375" style="5" customWidth="1"/>
    <col min="9" max="9" width="12.625" style="5" customWidth="1"/>
    <col min="10" max="10" width="8.50390625" style="5" customWidth="1"/>
    <col min="11" max="11" width="27.50390625" style="5" hidden="1" customWidth="1"/>
    <col min="12" max="12" width="14.125" style="5" hidden="1" customWidth="1"/>
    <col min="13" max="13" width="18.50390625" style="5" hidden="1" customWidth="1"/>
    <col min="14" max="14" width="10.125" style="5" hidden="1" customWidth="1"/>
    <col min="15" max="15" width="6.125" style="5" hidden="1" customWidth="1"/>
    <col min="16" max="16" width="2.125" style="5" hidden="1" customWidth="1"/>
    <col min="17" max="16384" width="0" style="5" hidden="1" customWidth="1"/>
  </cols>
  <sheetData>
    <row r="1" spans="2:13" s="8" customFormat="1" ht="16.5" customHeight="1" hidden="1">
      <c r="B1" s="2">
        <v>1</v>
      </c>
      <c r="C1" s="2">
        <v>1</v>
      </c>
      <c r="D1" s="2">
        <v>2</v>
      </c>
      <c r="E1" s="3">
        <v>1</v>
      </c>
      <c r="F1" s="3">
        <v>1</v>
      </c>
      <c r="G1" s="2">
        <v>1</v>
      </c>
      <c r="H1" s="2"/>
      <c r="I1" s="4"/>
      <c r="J1" s="4"/>
      <c r="K1" s="5"/>
      <c r="L1" s="6"/>
      <c r="M1" s="7">
        <f>($I$11/$I$17-$D$30)*$I$17</f>
        <v>9012.054794520549</v>
      </c>
    </row>
    <row r="2" spans="2:12" s="8" customFormat="1" ht="4.5" customHeight="1" hidden="1">
      <c r="B2" s="2" t="str">
        <f>"Овердрафт «Зарплатний Максимальний»"</f>
        <v>Овердрафт «Зарплатний Максимальний»</v>
      </c>
      <c r="C2" s="2" t="str">
        <f>"гривня"</f>
        <v>гривня</v>
      </c>
      <c r="D2" s="2" t="str">
        <f>"Торговий POS-термінал"</f>
        <v>Торговий POS-термінал</v>
      </c>
      <c r="E2" s="3" t="s">
        <v>13</v>
      </c>
      <c r="F2" s="9" t="str">
        <f>"Овердрафт «Крок назустріч»"</f>
        <v>Овердрафт «Крок назустріч»</v>
      </c>
      <c r="G2" s="2" t="str">
        <f>"в кінці строку"</f>
        <v>в кінці строку</v>
      </c>
      <c r="H2" s="2"/>
      <c r="I2" s="5"/>
      <c r="J2" s="5"/>
      <c r="K2" s="5"/>
      <c r="L2" s="6"/>
    </row>
    <row r="3" spans="2:11" s="8" customFormat="1" ht="17.25" customHeight="1" hidden="1">
      <c r="B3" s="2" t="str">
        <f>"Овердрафт «Крок назустріч»"</f>
        <v>Овердрафт «Крок назустріч»</v>
      </c>
      <c r="C3" s="2" t="str">
        <f>IF($B$1=3,"долар США","---")</f>
        <v>---</v>
      </c>
      <c r="D3" s="2"/>
      <c r="E3" s="3" t="s">
        <v>14</v>
      </c>
      <c r="F3" s="9"/>
      <c r="G3" s="2" t="str">
        <f>"зменшення ліміту"</f>
        <v>зменшення ліміту</v>
      </c>
      <c r="H3" s="2"/>
      <c r="I3" s="4"/>
      <c r="J3" s="4"/>
      <c r="K3" s="5"/>
    </row>
    <row r="4" spans="2:7" ht="6" customHeight="1" hidden="1">
      <c r="B4" s="2" t="str">
        <f>"Овердрафт «Зарплатний» (індивідуальні умови)"</f>
        <v>Овердрафт «Зарплатний» (індивідуальні умови)</v>
      </c>
      <c r="C4" s="2" t="str">
        <f>IF($B$1=3,"євро","---")</f>
        <v>---</v>
      </c>
      <c r="D4" s="2"/>
      <c r="E4" s="10"/>
      <c r="F4" s="11"/>
      <c r="G4" s="2" t="str">
        <f>"щомісячна очікувана сума"</f>
        <v>щомісячна очікувана сума</v>
      </c>
    </row>
    <row r="5" spans="2:7" ht="6" customHeight="1" hidden="1">
      <c r="B5" s="2" t="str">
        <f>"Овердрафт «Кредитна картка»"</f>
        <v>Овердрафт «Кредитна картка»</v>
      </c>
      <c r="C5" s="2"/>
      <c r="D5" s="2"/>
      <c r="E5" s="10"/>
      <c r="G5" s="2"/>
    </row>
    <row r="6" spans="2:7" ht="6" customHeight="1" hidden="1">
      <c r="B6" s="2" t="str">
        <f>"Програма новий клієнт"</f>
        <v>Програма новий клієнт</v>
      </c>
      <c r="C6" s="2"/>
      <c r="D6" s="2"/>
      <c r="E6" s="10"/>
      <c r="F6" s="10"/>
      <c r="G6" s="13"/>
    </row>
    <row r="7" spans="2:7" ht="15" customHeight="1" hidden="1">
      <c r="B7" s="2" t="str">
        <f>"Овердрафт під депозит"</f>
        <v>Овердрафт під депозит</v>
      </c>
      <c r="C7" s="2"/>
      <c r="D7" s="2"/>
      <c r="E7" s="10"/>
      <c r="F7" s="10"/>
      <c r="G7" s="13"/>
    </row>
    <row r="8" spans="2:7" ht="6" customHeight="1" hidden="1">
      <c r="B8" s="2" t="str">
        <f>"Овердрафт «Додаткова пенсія»"</f>
        <v>Овердрафт «Додаткова пенсія»</v>
      </c>
      <c r="C8" s="2"/>
      <c r="D8" s="2"/>
      <c r="E8" s="10"/>
      <c r="F8" s="10"/>
      <c r="G8" s="13"/>
    </row>
    <row r="9" spans="2:13" ht="9.75" hidden="1">
      <c r="B9" s="14" t="str">
        <f>"Параметри кредитної програми"</f>
        <v>Параметри кредитної програми</v>
      </c>
      <c r="C9" s="13"/>
      <c r="D9" s="13"/>
      <c r="E9" s="10"/>
      <c r="F9" s="10"/>
      <c r="G9" s="13"/>
      <c r="H9" s="13"/>
      <c r="L9" s="15" t="str">
        <f ca="1">"Курс НБУ на "&amp;TEXT(NOW(),"ДД.ММ.ГГГГ")&amp;" р."</f>
        <v>Курс НБУ на ДД.ММ.ГГГГ р.</v>
      </c>
      <c r="M9" s="15"/>
    </row>
    <row r="10" spans="12:13" ht="4.5" customHeight="1" hidden="1">
      <c r="L10" s="15"/>
      <c r="M10" s="15"/>
    </row>
    <row r="11" spans="2:13" ht="9.75" hidden="1">
      <c r="B11" s="5" t="str">
        <f>"Програма кредитування:"</f>
        <v>Програма кредитування:</v>
      </c>
      <c r="H11" s="5" t="str">
        <f>"Ліміт овердрафту"</f>
        <v>Ліміт овердрафту</v>
      </c>
      <c r="I11" s="16">
        <f>I51</f>
        <v>10000</v>
      </c>
      <c r="J11" s="5" t="str">
        <f>IF($C$1=2,"доларів США",IF($C$1=3,"євро","грн"))</f>
        <v>грн</v>
      </c>
      <c r="K11" s="5" t="s">
        <v>12</v>
      </c>
      <c r="L11" s="17"/>
      <c r="M11" s="15" t="str">
        <f>"грн. за 100 доларів США"</f>
        <v>грн. за 100 доларів США</v>
      </c>
    </row>
    <row r="12" spans="11:13" ht="11.25" customHeight="1" hidden="1">
      <c r="K12" s="5" t="s">
        <v>15</v>
      </c>
      <c r="L12" s="18"/>
      <c r="M12" s="15"/>
    </row>
    <row r="13" spans="2:13" ht="9.75" hidden="1">
      <c r="B13" s="5" t="str">
        <f>"Валюта овердрафту:"</f>
        <v>Валюта овердрафту:</v>
      </c>
      <c r="E13" s="1"/>
      <c r="H13" s="5" t="str">
        <f>"Дата кредитного договору:"</f>
        <v>Дата кредитного договору:</v>
      </c>
      <c r="I13" s="19">
        <v>42552</v>
      </c>
      <c r="K13" s="5" t="s">
        <v>16</v>
      </c>
      <c r="L13" s="17"/>
      <c r="M13" s="15" t="str">
        <f>"грн. за 100 євро"</f>
        <v>грн. за 100 євро</v>
      </c>
    </row>
    <row r="14" spans="12:13" ht="7.5" customHeight="1" hidden="1">
      <c r="L14" s="18"/>
      <c r="M14" s="15"/>
    </row>
    <row r="15" spans="2:13" ht="15" customHeight="1" hidden="1">
      <c r="B15" s="20"/>
      <c r="C15" s="20"/>
      <c r="D15" s="20"/>
      <c r="E15" s="21"/>
      <c r="F15" s="21"/>
      <c r="H15" s="5" t="str">
        <f>"Дата завершення овердрафту:"</f>
        <v>Дата завершення овердрафту:</v>
      </c>
      <c r="I15" s="19">
        <f>B41</f>
        <v>42917</v>
      </c>
      <c r="J15" s="22">
        <f>IF($I$15&lt;=$I$13,"Невідповідність дат","")</f>
      </c>
      <c r="L15" s="18" t="str">
        <f ca="1">"Комерційний курс на "&amp;TEXT(NOW(),"ДД.ММ.ГГГГ")&amp;" р."</f>
        <v>Комерційний курс на ДД.ММ.ГГГГ р.</v>
      </c>
      <c r="M15" s="15"/>
    </row>
    <row r="16" spans="8:13" ht="6.75" customHeight="1" hidden="1">
      <c r="H16" s="13"/>
      <c r="L16" s="18"/>
      <c r="M16" s="15"/>
    </row>
    <row r="17" spans="2:13" ht="21.75" customHeight="1" hidden="1">
      <c r="B17" s="86"/>
      <c r="C17" s="86"/>
      <c r="D17" s="87"/>
      <c r="E17" s="23"/>
      <c r="H17" s="5" t="s">
        <v>33</v>
      </c>
      <c r="I17" s="24">
        <v>12</v>
      </c>
      <c r="J17" s="25">
        <f>IF(DAY($I$13)=1,I17-1,I17)</f>
        <v>11</v>
      </c>
      <c r="L17" s="18"/>
      <c r="M17" s="15"/>
    </row>
    <row r="18" spans="2:13" ht="9.75" hidden="1">
      <c r="B18" s="5" t="str">
        <f>"Процента ставка за кредитом, річних"</f>
        <v>Процента ставка за кредитом, річних</v>
      </c>
      <c r="E18" s="26">
        <v>0.48</v>
      </c>
      <c r="H18" s="5" t="str">
        <f>IF(OR($B$1=1,$B$1=2,$B$1=3,$B$1=4,$B$1=7),"Щомісячні платежі очікуються",IF(OR($B$1=5,$B$1=6),"Сплата процентів очікується"))</f>
        <v>Щомісячні платежі очікуються</v>
      </c>
      <c r="I18" s="27">
        <v>25</v>
      </c>
      <c r="J18" s="5" t="str">
        <f>"числа кожного місяця"</f>
        <v>числа кожного місяця</v>
      </c>
      <c r="L18" s="17"/>
      <c r="M18" s="15" t="str">
        <f>"грн. за 100 доларів США"</f>
        <v>грн. за 100 доларів США</v>
      </c>
    </row>
    <row r="19" spans="5:13" ht="11.25" customHeight="1" hidden="1">
      <c r="E19" s="28"/>
      <c r="H19" s="5" t="s">
        <v>34</v>
      </c>
      <c r="I19" s="29">
        <v>0.01</v>
      </c>
      <c r="L19" s="18"/>
      <c r="M19" s="15"/>
    </row>
    <row r="20" spans="2:13" ht="15" customHeight="1" hidden="1">
      <c r="B20" s="5" t="str">
        <f>"Метод розрахунку процентів"</f>
        <v>Метод розрахунку процентів</v>
      </c>
      <c r="E20" s="30" t="str">
        <f>"факт/факт"</f>
        <v>факт/факт</v>
      </c>
      <c r="H20" s="31" t="s">
        <v>31</v>
      </c>
      <c r="I20" s="32">
        <v>0.06</v>
      </c>
      <c r="J20" s="5">
        <f>IF(OR($G$1=3),"гривень","")</f>
      </c>
      <c r="L20" s="17"/>
      <c r="M20" s="15" t="str">
        <f>"грн. за 100 євро"</f>
        <v>грн. за 100 євро</v>
      </c>
    </row>
    <row r="21" spans="2:9" ht="15" customHeight="1" hidden="1">
      <c r="B21" s="5" t="str">
        <f>"для розрахунку процентів береться фактична кількість днів у місяці та у році (365/366)"</f>
        <v>для розрахунку процентів береться фактична кількість днів у місяці та у році (365/366)</v>
      </c>
      <c r="H21" s="31" t="s">
        <v>32</v>
      </c>
      <c r="I21" s="33">
        <v>0</v>
      </c>
    </row>
    <row r="22" spans="2:11" ht="10.5" customHeight="1" hidden="1">
      <c r="B22" s="88" t="str">
        <f>IF(E18=25%,"","Комісія за видачу готівкових грошових коштів в установах та банкоматах  від суми видачі готівки становить")</f>
        <v>Комісія за видачу готівкових грошових коштів в установах та банкоматах  від суми видачі готівки становить</v>
      </c>
      <c r="C22" s="88"/>
      <c r="D22" s="88"/>
      <c r="E22" s="88"/>
      <c r="F22" s="88"/>
      <c r="G22" s="88"/>
      <c r="H22" s="89"/>
      <c r="I22" s="34">
        <v>0</v>
      </c>
      <c r="J22" s="35"/>
      <c r="K22" s="36"/>
    </row>
    <row r="23" spans="2:15" ht="12.75" customHeight="1" hidden="1">
      <c r="B23" s="90" t="s">
        <v>22</v>
      </c>
      <c r="C23" s="90" t="str">
        <f>"Сума платежу за розрахунковий період, "&amp;IF($C$1=3,"євро",IF($C$1=2,"доларів США","гривень"))</f>
        <v>Сума платежу за розрахунковий період, гривень</v>
      </c>
      <c r="D23" s="37"/>
      <c r="E23" s="38"/>
      <c r="F23" s="38"/>
      <c r="G23" s="39" t="s">
        <v>0</v>
      </c>
      <c r="H23" s="39"/>
      <c r="I23" s="40"/>
      <c r="J23" s="39"/>
      <c r="K23" s="39"/>
      <c r="L23" s="90" t="s">
        <v>24</v>
      </c>
      <c r="M23" s="93" t="s">
        <v>25</v>
      </c>
      <c r="O23" s="41"/>
    </row>
    <row r="24" spans="2:14" ht="12.75" customHeight="1" hidden="1">
      <c r="B24" s="91"/>
      <c r="C24" s="91"/>
      <c r="D24" s="90" t="s">
        <v>23</v>
      </c>
      <c r="E24" s="90" t="s">
        <v>1</v>
      </c>
      <c r="F24" s="42" t="s">
        <v>2</v>
      </c>
      <c r="G24" s="43"/>
      <c r="H24" s="43"/>
      <c r="I24" s="43"/>
      <c r="J24" s="43"/>
      <c r="K24" s="43"/>
      <c r="L24" s="91"/>
      <c r="M24" s="94"/>
      <c r="N24" s="44"/>
    </row>
    <row r="25" spans="2:14" ht="12" customHeight="1" hidden="1">
      <c r="B25" s="91"/>
      <c r="C25" s="91"/>
      <c r="D25" s="91"/>
      <c r="E25" s="91"/>
      <c r="F25" s="45" t="s">
        <v>3</v>
      </c>
      <c r="G25" s="39"/>
      <c r="H25" s="46"/>
      <c r="I25" s="37" t="s">
        <v>5</v>
      </c>
      <c r="J25" s="39"/>
      <c r="K25" s="46"/>
      <c r="L25" s="91"/>
      <c r="M25" s="94"/>
      <c r="N25" s="44"/>
    </row>
    <row r="26" spans="2:14" ht="47.25" customHeight="1" hidden="1">
      <c r="B26" s="92"/>
      <c r="C26" s="92"/>
      <c r="D26" s="92"/>
      <c r="E26" s="92"/>
      <c r="F26" s="47" t="s">
        <v>27</v>
      </c>
      <c r="G26" s="47" t="s">
        <v>26</v>
      </c>
      <c r="H26" s="48" t="s">
        <v>4</v>
      </c>
      <c r="I26" s="48" t="s">
        <v>6</v>
      </c>
      <c r="J26" s="48" t="s">
        <v>7</v>
      </c>
      <c r="K26" s="49" t="s">
        <v>8</v>
      </c>
      <c r="L26" s="92"/>
      <c r="M26" s="95"/>
      <c r="N26" s="44"/>
    </row>
    <row r="27" spans="2:13" ht="19.5" customHeight="1" hidden="1">
      <c r="B27" s="50">
        <v>1</v>
      </c>
      <c r="C27" s="50">
        <v>2</v>
      </c>
      <c r="D27" s="50">
        <v>3</v>
      </c>
      <c r="E27" s="50">
        <v>4</v>
      </c>
      <c r="F27" s="51"/>
      <c r="G27" s="52">
        <v>5</v>
      </c>
      <c r="H27" s="53"/>
      <c r="I27" s="51"/>
      <c r="J27" s="52">
        <v>6</v>
      </c>
      <c r="K27" s="53"/>
      <c r="L27" s="50">
        <v>7</v>
      </c>
      <c r="M27" s="50">
        <v>8</v>
      </c>
    </row>
    <row r="28" spans="2:14" ht="11.25" customHeight="1" hidden="1">
      <c r="B28" s="54"/>
      <c r="C28" s="54"/>
      <c r="D28" s="54"/>
      <c r="E28" s="54"/>
      <c r="F28" s="55" t="s">
        <v>9</v>
      </c>
      <c r="G28" s="55" t="s">
        <v>17</v>
      </c>
      <c r="H28" s="55" t="s">
        <v>18</v>
      </c>
      <c r="I28" s="55" t="s">
        <v>19</v>
      </c>
      <c r="J28" s="55" t="s">
        <v>20</v>
      </c>
      <c r="K28" s="55" t="s">
        <v>21</v>
      </c>
      <c r="L28" s="54"/>
      <c r="M28" s="54"/>
      <c r="N28" s="41" t="s">
        <v>11</v>
      </c>
    </row>
    <row r="29" spans="1:15" ht="21.75" customHeight="1" hidden="1">
      <c r="A29" s="56">
        <f>DATE(YEAR($I$15),MONTH($I$15),1)</f>
        <v>42917</v>
      </c>
      <c r="B29" s="56">
        <f>I13</f>
        <v>42552</v>
      </c>
      <c r="C29" s="57">
        <f>D29+SUM(F29:K29)</f>
        <v>-10000</v>
      </c>
      <c r="D29" s="57">
        <f>-I11</f>
        <v>-10000</v>
      </c>
      <c r="E29" s="58" t="s">
        <v>10</v>
      </c>
      <c r="F29" s="59">
        <f>$I$11*$E$17</f>
        <v>0</v>
      </c>
      <c r="G29" s="59">
        <f>I22*I11</f>
        <v>0</v>
      </c>
      <c r="H29" s="59">
        <v>0</v>
      </c>
      <c r="I29" s="59"/>
      <c r="J29" s="59">
        <v>0</v>
      </c>
      <c r="K29" s="59">
        <v>0</v>
      </c>
      <c r="L29" s="58" t="s">
        <v>10</v>
      </c>
      <c r="M29" s="58" t="s">
        <v>10</v>
      </c>
      <c r="N29" s="60">
        <f>-D29</f>
        <v>10000</v>
      </c>
      <c r="O29" s="61"/>
    </row>
    <row r="30" spans="1:15" ht="9.75" hidden="1">
      <c r="A30" s="56">
        <f>DATE(YEAR(I13),MONTH(I13)+1,1)</f>
        <v>42583</v>
      </c>
      <c r="B30" s="56">
        <v>42583</v>
      </c>
      <c r="C30" s="59">
        <f>IF(B30="","",IF(B30="Усього",SUM(C29:C$30),SUM(D30:K30)))</f>
        <v>600</v>
      </c>
      <c r="D30" s="59">
        <f>(N29*I20)-E30-F30-H30-I30</f>
        <v>82.32876712328766</v>
      </c>
      <c r="E30" s="57">
        <f>IF(OR($B29="Усього",$B29=""),"",IF($N29=0,SUM(E29:E$30),N29*$E$18*(B30-B29)/365))</f>
        <v>407.67123287671234</v>
      </c>
      <c r="F30" s="57">
        <v>10</v>
      </c>
      <c r="G30" s="57">
        <f>IF(OR($B29="Усього",$B29=""),"",IF($N29=0,SUM(G$29:G29),0))</f>
        <v>0</v>
      </c>
      <c r="H30" s="59">
        <f>N29*I21</f>
        <v>0</v>
      </c>
      <c r="I30" s="59">
        <f>N29*I19</f>
        <v>100</v>
      </c>
      <c r="J30" s="57">
        <f>IF(OR($B29="Усього",$B29=""),"",IF($N29=0,SUM(J$29:J29),0))</f>
        <v>0</v>
      </c>
      <c r="K30" s="57">
        <f>IF(OR($B29="Усього",$B29=""),"",IF($N29=0,SUM(K$29:K29),0))</f>
        <v>0</v>
      </c>
      <c r="L30" s="62" t="str">
        <f>IF($I$11&lt;=0,0,IF($N29=0,0,"Х"))</f>
        <v>Х</v>
      </c>
      <c r="M30" s="63" t="str">
        <f>IF(OR($B29="Усього",$B29=""),"",IF($N29=0,SUM(E30:K30),"Х"))</f>
        <v>Х</v>
      </c>
      <c r="N30" s="60">
        <f aca="true" t="shared" si="0" ref="N30:N42">IF(OR($B29="Усього",$B29=""),"",IF($N29=0,"",IF(DATE(YEAR(B29),MONTH(B29)+1,DAY($I$17))&gt;$I$15,0,N29-D30)))</f>
        <v>9917.671232876712</v>
      </c>
      <c r="O30" s="64">
        <v>1</v>
      </c>
    </row>
    <row r="31" spans="1:15" ht="9.75" hidden="1">
      <c r="A31" s="56">
        <f aca="true" t="shared" si="1" ref="A31:A42">DATE(YEAR(A30),MONTH(A30)+1,1)</f>
        <v>42614</v>
      </c>
      <c r="B31" s="56">
        <v>42614</v>
      </c>
      <c r="C31" s="57">
        <f>IF(B31="","",IF(B31="Усього",SUM(C$30:C30),SUM(D31:K31)))</f>
        <v>595.0602739726027</v>
      </c>
      <c r="D31" s="57">
        <f>(N30*I20)-E31-F31-H31-I31</f>
        <v>81.56863576656029</v>
      </c>
      <c r="E31" s="57">
        <f>IF(OR($B30="Усього",$B30=""),"",IF($N30=0,SUM(E$30:E30),N30*$E$18*(B31-B30)/365))</f>
        <v>404.31492587727524</v>
      </c>
      <c r="F31" s="57">
        <v>10</v>
      </c>
      <c r="G31" s="57">
        <f>IF(OR($B30="Усього",$B30=""),"",IF($N30=0,SUM(G$29:G30),0))</f>
        <v>0</v>
      </c>
      <c r="H31" s="59">
        <f>N30*I21</f>
        <v>0</v>
      </c>
      <c r="I31" s="59">
        <f>N30*I19</f>
        <v>99.17671232876712</v>
      </c>
      <c r="J31" s="57">
        <f>IF(OR($B30="Усього",$B30=""),"",IF($N30=0,SUM(J$29:J30),0))</f>
        <v>0</v>
      </c>
      <c r="K31" s="57">
        <f>IF(OR($B30="Усього",$B30=""),"",IF($N30=0,SUM(K$29:K30),0))</f>
        <v>0</v>
      </c>
      <c r="L31" s="62" t="str">
        <f>IF(OR($B30="Усього",$B30=""),"",IF($N30=0,_XLL.ЧИСТВНДОХ(C$29:C30,B$29:B30,0.2),"Х"))</f>
        <v>Х</v>
      </c>
      <c r="M31" s="63" t="str">
        <f aca="true" t="shared" si="2" ref="M31:M42">IF(OR($B30="Усього",$B30=""),"",IF($N30=0,SUM(E31:K31),"Х"))</f>
        <v>Х</v>
      </c>
      <c r="N31" s="60">
        <f t="shared" si="0"/>
        <v>9836.102597110152</v>
      </c>
      <c r="O31" s="64">
        <v>2</v>
      </c>
    </row>
    <row r="32" spans="1:15" ht="9.75" hidden="1">
      <c r="A32" s="56">
        <f t="shared" si="1"/>
        <v>42644</v>
      </c>
      <c r="B32" s="56">
        <v>42644</v>
      </c>
      <c r="C32" s="57">
        <f>IF(B32="","",IF(B32="Усього",SUM(C$30:C31),SUM(D32:K32)))</f>
        <v>590.166155826609</v>
      </c>
      <c r="D32" s="57">
        <f>(N31*I20)-E32-F32-H32-I32</f>
        <v>93.75067122979203</v>
      </c>
      <c r="E32" s="57">
        <f>IF(OR($B31="Усього",$B31=""),"",IF($N31=0,SUM(E$30:E31),N31*$E$18*(B32-B31)/365))</f>
        <v>388.0544586257155</v>
      </c>
      <c r="F32" s="57">
        <v>10</v>
      </c>
      <c r="G32" s="57">
        <f>IF(OR($B31="Усього",$B31=""),"",IF($N31=0,SUM(G$29:G31),0))</f>
        <v>0</v>
      </c>
      <c r="H32" s="59">
        <f>N31*I21</f>
        <v>0</v>
      </c>
      <c r="I32" s="59">
        <f>N31*I19</f>
        <v>98.36102597110153</v>
      </c>
      <c r="J32" s="57">
        <f>IF(OR($B31="Усього",$B31=""),"",IF($N31=0,SUM(J$29:J31),0))</f>
        <v>0</v>
      </c>
      <c r="K32" s="57">
        <f>IF(OR($B31="Усього",$B31=""),"",IF($N31=0,SUM(K$29:K31),0))</f>
        <v>0</v>
      </c>
      <c r="L32" s="62" t="str">
        <f>IF(OR($B31="Усього",$B31=""),"",IF($N31=0,_XLL.ЧИСТВНДОХ(C$29:C31,B$29:B31,0.2),"Х"))</f>
        <v>Х</v>
      </c>
      <c r="M32" s="63" t="str">
        <f t="shared" si="2"/>
        <v>Х</v>
      </c>
      <c r="N32" s="60">
        <f t="shared" si="0"/>
        <v>9742.351925880359</v>
      </c>
      <c r="O32" s="64">
        <v>3</v>
      </c>
    </row>
    <row r="33" spans="1:15" ht="9.75" hidden="1">
      <c r="A33" s="56">
        <f t="shared" si="1"/>
        <v>42675</v>
      </c>
      <c r="B33" s="56">
        <v>42675</v>
      </c>
      <c r="C33" s="57">
        <f>IF(B33="","",IF(B33="Усього",SUM(C$30:C32),SUM(D33:K33)))</f>
        <v>584.5411155528216</v>
      </c>
      <c r="D33" s="57">
        <f>(N32*I20)-E33-F33-H33-I33</f>
        <v>79.94993421977205</v>
      </c>
      <c r="E33" s="57">
        <f>IF(OR($B32="Усього",$B32=""),"",IF($N32=0,SUM(E$30:E32),N32*$E$18*(B33-B32)/365))</f>
        <v>397.1676620742459</v>
      </c>
      <c r="F33" s="57">
        <v>10</v>
      </c>
      <c r="G33" s="57">
        <f>IF(OR($B32="Усього",$B32=""),"",IF($N32=0,SUM(G$29:G32),0))</f>
        <v>0</v>
      </c>
      <c r="H33" s="59">
        <f>N32*I21</f>
        <v>0</v>
      </c>
      <c r="I33" s="59">
        <f>N32*I19</f>
        <v>97.4235192588036</v>
      </c>
      <c r="J33" s="57">
        <f>IF(OR($B32="Усього",$B32=""),"",IF($N32=0,SUM(J$29:J32),0))</f>
        <v>0</v>
      </c>
      <c r="K33" s="57">
        <f>IF(OR($B32="Усього",$B32=""),"",IF($N32=0,SUM(K$29:K32),0))</f>
        <v>0</v>
      </c>
      <c r="L33" s="62" t="str">
        <f>IF(OR($B32="Усього",$B32=""),"",IF($N32=0,_XLL.ЧИСТВНДОХ(C$29:C32,B$29:B32,0.2),"Х"))</f>
        <v>Х</v>
      </c>
      <c r="M33" s="63" t="str">
        <f t="shared" si="2"/>
        <v>Х</v>
      </c>
      <c r="N33" s="60">
        <f t="shared" si="0"/>
        <v>9662.401991660587</v>
      </c>
      <c r="O33" s="64">
        <v>4</v>
      </c>
    </row>
    <row r="34" spans="1:15" ht="9.75" hidden="1">
      <c r="A34" s="56">
        <f t="shared" si="1"/>
        <v>42705</v>
      </c>
      <c r="B34" s="56">
        <v>42705</v>
      </c>
      <c r="C34" s="57">
        <f>IF(B34="","",IF(B34="Усього",SUM(C$30:C33),SUM(D34:K34)))</f>
        <v>579.7441194996352</v>
      </c>
      <c r="D34" s="57">
        <f>(N33*I20)-E34-F34-H34-I34</f>
        <v>91.91848676135137</v>
      </c>
      <c r="E34" s="57">
        <f>IF(OR($B33="Усього",$B33=""),"",IF($N33=0,SUM(E$30:E33),N33*$E$18*(B34-B33)/365))</f>
        <v>381.20161282167794</v>
      </c>
      <c r="F34" s="57">
        <v>10</v>
      </c>
      <c r="G34" s="57">
        <f>IF(OR($B33="Усього",$B33=""),"",IF($N33=0,SUM(G$29:G33),0))</f>
        <v>0</v>
      </c>
      <c r="H34" s="59">
        <f>N33*I21</f>
        <v>0</v>
      </c>
      <c r="I34" s="59">
        <f>N33*I19</f>
        <v>96.62401991660587</v>
      </c>
      <c r="J34" s="57">
        <f>IF(OR($B33="Усього",$B33=""),"",IF($N33=0,SUM(J$29:J33),0))</f>
        <v>0</v>
      </c>
      <c r="K34" s="57">
        <f>IF(OR($B33="Усього",$B33=""),"",IF($N33=0,SUM(K$29:K33),0))</f>
        <v>0</v>
      </c>
      <c r="L34" s="62" t="str">
        <f>IF(OR($B33="Усього",$B33=""),"",IF($N33=0,_XLL.ЧИСТВНДОХ(C$29:C33,B$29:B33,0.2),"Х"))</f>
        <v>Х</v>
      </c>
      <c r="M34" s="63" t="str">
        <f t="shared" si="2"/>
        <v>Х</v>
      </c>
      <c r="N34" s="60">
        <f t="shared" si="0"/>
        <v>9570.483504899235</v>
      </c>
      <c r="O34" s="64">
        <v>5</v>
      </c>
    </row>
    <row r="35" spans="1:16" ht="9.75" hidden="1">
      <c r="A35" s="56">
        <f t="shared" si="1"/>
        <v>42736</v>
      </c>
      <c r="B35" s="56">
        <v>42736</v>
      </c>
      <c r="C35" s="57">
        <f>IF(B35="","",IF(B35="Усього",SUM(C$30:C34),SUM(D35:K35)))</f>
        <v>574.229010293954</v>
      </c>
      <c r="D35" s="57">
        <f>(N34*I20)-E35-F35-H35-I35</f>
        <v>78.36309427811076</v>
      </c>
      <c r="E35" s="57">
        <f>IF(OR($B34="Усього",$B34=""),"",IF($N34=0,SUM(E$30:E34),N34*$E$18*(B35-B34)/365))</f>
        <v>390.16108096685093</v>
      </c>
      <c r="F35" s="57">
        <v>10</v>
      </c>
      <c r="G35" s="57">
        <f>IF(OR($B34="Усього",$B34=""),"",IF($N34=0,SUM(G$29:G34),0))</f>
        <v>0</v>
      </c>
      <c r="H35" s="59">
        <f>N34*I21</f>
        <v>0</v>
      </c>
      <c r="I35" s="59">
        <f>N34*I19</f>
        <v>95.70483504899235</v>
      </c>
      <c r="J35" s="57">
        <f>IF(OR($B34="Усього",$B34=""),"",IF($N34=0,SUM(J$29:J34),0))</f>
        <v>0</v>
      </c>
      <c r="K35" s="57">
        <f>IF(OR($B34="Усього",$B34=""),"",IF($N34=0,SUM(K$29:K34),0))</f>
        <v>0</v>
      </c>
      <c r="L35" s="62" t="str">
        <f>IF(OR($B34="Усього",$B34=""),"",IF($N34=0,_XLL.ЧИСТВНДОХ(C$29:C34,B$29:B34,0.2),"Х"))</f>
        <v>Х</v>
      </c>
      <c r="M35" s="63" t="str">
        <f t="shared" si="2"/>
        <v>Х</v>
      </c>
      <c r="N35" s="60">
        <f t="shared" si="0"/>
        <v>9492.120410621124</v>
      </c>
      <c r="O35" s="64">
        <v>6</v>
      </c>
      <c r="P35" s="61"/>
    </row>
    <row r="36" spans="1:15" ht="9.75" hidden="1">
      <c r="A36" s="56">
        <f t="shared" si="1"/>
        <v>42767</v>
      </c>
      <c r="B36" s="56">
        <v>42767</v>
      </c>
      <c r="C36" s="57">
        <f>IF(B36="","",IF(B36="Усього",SUM(C$30:C35),SUM(D36:K36)))</f>
        <v>569.5272246372674</v>
      </c>
      <c r="D36" s="57">
        <f>(N35*I20)-E36-F36-H36-I36</f>
        <v>77.63957748984431</v>
      </c>
      <c r="E36" s="57">
        <f>IF(OR($B35="Усього",$B35=""),"",IF($N35=0,SUM(E$30:E35),N35*$E$18*(B36-B35)/365))</f>
        <v>386.96644304121185</v>
      </c>
      <c r="F36" s="57">
        <v>10</v>
      </c>
      <c r="G36" s="57">
        <f>IF(OR($B35="Усього",$B35=""),"",IF($N35=0,SUM(G$29:G35),0))</f>
        <v>0</v>
      </c>
      <c r="H36" s="59">
        <f>N35*I21</f>
        <v>0</v>
      </c>
      <c r="I36" s="59">
        <f>N35*I19</f>
        <v>94.92120410621125</v>
      </c>
      <c r="J36" s="57">
        <f>IF(OR($B35="Усього",$B35=""),"",IF($N35=0,SUM(J$29:J35),0))</f>
        <v>0</v>
      </c>
      <c r="K36" s="57">
        <f>IF(OR($B35="Усього",$B35=""),"",IF($N35=0,SUM(K$29:K35),0))</f>
        <v>0</v>
      </c>
      <c r="L36" s="62" t="str">
        <f>IF(OR($B35="Усього",$B35=""),"",IF($N35=0,_XLL.ЧИСТВНДОХ(C$29:C35,B$29:B35,0.2),"Х"))</f>
        <v>Х</v>
      </c>
      <c r="M36" s="63" t="str">
        <f t="shared" si="2"/>
        <v>Х</v>
      </c>
      <c r="N36" s="60">
        <f t="shared" si="0"/>
        <v>9414.48083313128</v>
      </c>
      <c r="O36" s="64">
        <v>7</v>
      </c>
    </row>
    <row r="37" spans="1:15" ht="9.75" hidden="1">
      <c r="A37" s="56">
        <f t="shared" si="1"/>
        <v>42795</v>
      </c>
      <c r="B37" s="56">
        <v>42795</v>
      </c>
      <c r="C37" s="57">
        <f>IF(B37="","",IF(B37="Усього",SUM(C$30:C36),SUM(D37:K37)))</f>
        <v>564.8688499878767</v>
      </c>
      <c r="D37" s="57">
        <f>(N36*I20)-E37-F37-H37-I37</f>
        <v>114.06480221194919</v>
      </c>
      <c r="E37" s="57">
        <f>IF(OR($B36="Усього",$B36=""),"",IF($N36=0,SUM(E$30:E36),N36*$E$18*(B37-B36)/365))</f>
        <v>346.65923944461474</v>
      </c>
      <c r="F37" s="57">
        <v>10</v>
      </c>
      <c r="G37" s="57">
        <f>IF(OR($B36="Усього",$B36=""),"",IF($N36=0,SUM(G$29:G36),0))</f>
        <v>0</v>
      </c>
      <c r="H37" s="59">
        <f>N36*I21</f>
        <v>0</v>
      </c>
      <c r="I37" s="59">
        <f>N36*I19</f>
        <v>94.1448083313128</v>
      </c>
      <c r="J37" s="57">
        <f>IF(OR($B36="Усього",$B36=""),"",IF($N36=0,SUM(J$29:J36),0))</f>
        <v>0</v>
      </c>
      <c r="K37" s="57">
        <f>IF(OR($B36="Усього",$B36=""),"",IF($N36=0,SUM(K$29:K36),0))</f>
        <v>0</v>
      </c>
      <c r="L37" s="62" t="str">
        <f>IF(OR($B36="Усього",$B36=""),"",IF($N36=0,_XLL.ЧИСТВНДОХ(C$29:C36,B$29:B36,0.2),"Х"))</f>
        <v>Х</v>
      </c>
      <c r="M37" s="63" t="str">
        <f t="shared" si="2"/>
        <v>Х</v>
      </c>
      <c r="N37" s="60">
        <f t="shared" si="0"/>
        <v>9300.41603091933</v>
      </c>
      <c r="O37" s="64">
        <v>8</v>
      </c>
    </row>
    <row r="38" spans="1:15" ht="9.75" hidden="1">
      <c r="A38" s="56">
        <f t="shared" si="1"/>
        <v>42826</v>
      </c>
      <c r="B38" s="56">
        <v>42826</v>
      </c>
      <c r="C38" s="57">
        <f>IF(B38="","",IF(B38="Усього",SUM(C$30:C37),SUM(D38:K38)))</f>
        <v>558.0249618551597</v>
      </c>
      <c r="D38" s="57">
        <f>(N37*I20)-E38-F38-H38-I38</f>
        <v>75.86959458684424</v>
      </c>
      <c r="E38" s="57">
        <f>IF(OR($B37="Усього",$B37=""),"",IF($N37=0,SUM(E$30:E37),N37*$E$18*(B38-B37)/365))</f>
        <v>379.1512069591222</v>
      </c>
      <c r="F38" s="57">
        <v>10</v>
      </c>
      <c r="G38" s="57">
        <f>IF(OR($B37="Усього",$B37=""),"",IF($N37=0,SUM(G$29:G37),0))</f>
        <v>0</v>
      </c>
      <c r="H38" s="59">
        <f>N37*I21</f>
        <v>0</v>
      </c>
      <c r="I38" s="59">
        <f>N37*I19</f>
        <v>93.00416030919331</v>
      </c>
      <c r="J38" s="57">
        <f>IF(OR($B37="Усього",$B37=""),"",IF($N37=0,SUM(J$29:J37),0))</f>
        <v>0</v>
      </c>
      <c r="K38" s="57">
        <f>IF(OR($B37="Усього",$B37=""),"",IF($N37=0,SUM(K$29:K37),0))</f>
        <v>0</v>
      </c>
      <c r="L38" s="62" t="str">
        <f>IF(OR($B37="Усього",$B37=""),"",IF($N37=0,_XLL.ЧИСТВНДОХ(C$29:C37,B$29:B37,0.2),"Х"))</f>
        <v>Х</v>
      </c>
      <c r="M38" s="63" t="str">
        <f t="shared" si="2"/>
        <v>Х</v>
      </c>
      <c r="N38" s="60">
        <f t="shared" si="0"/>
        <v>9224.546436332486</v>
      </c>
      <c r="O38" s="64">
        <v>9</v>
      </c>
    </row>
    <row r="39" spans="1:15" ht="9.75" hidden="1">
      <c r="A39" s="56">
        <f t="shared" si="1"/>
        <v>42856</v>
      </c>
      <c r="B39" s="56">
        <v>42856</v>
      </c>
      <c r="C39" s="57">
        <f>IF(B39="","",IF(B39="Усього",SUM(C$30:C38),SUM(D39:K39)))</f>
        <v>553.4727861799491</v>
      </c>
      <c r="D39" s="57">
        <f>(N38*I20)-E39-F39-H39-I39</f>
        <v>87.3000103558358</v>
      </c>
      <c r="E39" s="57">
        <f>IF(OR($B38="Усього",$B38=""),"",IF($N38=0,SUM(E$30:E38),N38*$E$18*(B39-B38)/365))</f>
        <v>363.9273114607885</v>
      </c>
      <c r="F39" s="57">
        <v>10</v>
      </c>
      <c r="G39" s="57">
        <f>IF(OR($B38="Усього",$B38=""),"",IF($N38=0,SUM(G$29:G38),0))</f>
        <v>0</v>
      </c>
      <c r="H39" s="59">
        <f>N38*I21</f>
        <v>0</v>
      </c>
      <c r="I39" s="59">
        <f>N38*I19</f>
        <v>92.24546436332487</v>
      </c>
      <c r="J39" s="57">
        <f>IF(OR($B38="Усього",$B38=""),"",IF($N38=0,SUM(J$29:J38),0))</f>
        <v>0</v>
      </c>
      <c r="K39" s="57">
        <f>IF(OR($B38="Усього",$B38=""),"",IF($N38=0,SUM(K$29:K38),0))</f>
        <v>0</v>
      </c>
      <c r="L39" s="62" t="str">
        <f>IF(OR($B38="Усього",$B38=""),"",IF($N38=0,_XLL.ЧИСТВНДОХ(C$29:C38,B$29:B38,0.2),"Х"))</f>
        <v>Х</v>
      </c>
      <c r="M39" s="63" t="str">
        <f t="shared" si="2"/>
        <v>Х</v>
      </c>
      <c r="N39" s="60">
        <f t="shared" si="0"/>
        <v>9137.246425976651</v>
      </c>
      <c r="O39" s="64">
        <v>10</v>
      </c>
    </row>
    <row r="40" spans="1:15" ht="9.75" hidden="1">
      <c r="A40" s="56">
        <f t="shared" si="1"/>
        <v>42887</v>
      </c>
      <c r="B40" s="56">
        <v>42887</v>
      </c>
      <c r="C40" s="57">
        <f>IF(B40="","",IF(B40="Усього",SUM(C$30:C39),SUM(D40:K40)))</f>
        <v>548.234785558599</v>
      </c>
      <c r="D40" s="57">
        <f>(N39*I20)-E40-F40-H40-I40</f>
        <v>74.363069741209</v>
      </c>
      <c r="E40" s="57">
        <f>IF(OR($B39="Усього",$B39=""),"",IF($N39=0,SUM(E$30:E39),N39*$E$18*(B40-B39)/365))</f>
        <v>372.4992515576235</v>
      </c>
      <c r="F40" s="57">
        <v>10</v>
      </c>
      <c r="G40" s="57">
        <f>IF(OR($B39="Усього",$B39=""),"",IF($N39=0,SUM(G$29:G39),0))</f>
        <v>0</v>
      </c>
      <c r="H40" s="59">
        <f>N39*I21</f>
        <v>0</v>
      </c>
      <c r="I40" s="59">
        <f>N39*I19</f>
        <v>91.37246425976652</v>
      </c>
      <c r="J40" s="57">
        <f>IF(OR($B39="Усього",$B39=""),"",IF($N39=0,SUM(J$29:J39),0))</f>
        <v>0</v>
      </c>
      <c r="K40" s="57">
        <f>IF(OR($B39="Усього",$B39=""),"",IF($N39=0,SUM(K$29:K39),0))</f>
        <v>0</v>
      </c>
      <c r="L40" s="62" t="str">
        <f>IF(OR($B39="Усього",$B39=""),"",IF($N39=0,_XLL.ЧИСТВНДОХ(C$29:C39,B$29:B39,0.2),"Х"))</f>
        <v>Х</v>
      </c>
      <c r="M40" s="63" t="str">
        <f t="shared" si="2"/>
        <v>Х</v>
      </c>
      <c r="N40" s="60">
        <f t="shared" si="0"/>
        <v>9062.883356235443</v>
      </c>
      <c r="O40" s="64">
        <v>11</v>
      </c>
    </row>
    <row r="41" spans="1:15" ht="9.75" hidden="1">
      <c r="A41" s="56">
        <f t="shared" si="1"/>
        <v>42917</v>
      </c>
      <c r="B41" s="56">
        <v>42917</v>
      </c>
      <c r="C41" s="57">
        <f>IF(B41="","",IF(B41="Усього",SUM(C$30:C40),SUM(D41:K41)))</f>
        <v>9521.061560564345</v>
      </c>
      <c r="D41" s="57">
        <f>N40</f>
        <v>9062.883356235443</v>
      </c>
      <c r="E41" s="57">
        <f>IF(OR($B40="Усього",$B40=""),"",IF($N40=0,SUM(E$30:E40),N40*$E$18*(B41-B40)/365))</f>
        <v>357.549370766549</v>
      </c>
      <c r="F41" s="57">
        <v>10</v>
      </c>
      <c r="G41" s="57">
        <f>IF(OR($B40="Усього",$B40=""),"",IF($N40=0,SUM(G$29:G40),0))</f>
        <v>0</v>
      </c>
      <c r="H41" s="59">
        <f>N40*I21</f>
        <v>0</v>
      </c>
      <c r="I41" s="59">
        <f>N40*I19</f>
        <v>90.62883356235443</v>
      </c>
      <c r="J41" s="57">
        <f>IF(OR($B40="Усього",$B40=""),"",IF($N40=0,SUM(J$29:J40),0))</f>
        <v>0</v>
      </c>
      <c r="K41" s="57">
        <f>IF(OR($B40="Усього",$B40=""),"",IF($N40=0,SUM(K$29:K40),0))</f>
        <v>0</v>
      </c>
      <c r="L41" s="62" t="str">
        <f>IF(OR($B40="Усього",$B40=""),"",IF($N40=0,_XLL.ЧИСТВНДОХ(C$29:C40,B$29:B40,0.2),"Х"))</f>
        <v>Х</v>
      </c>
      <c r="M41" s="63" t="str">
        <f t="shared" si="2"/>
        <v>Х</v>
      </c>
      <c r="N41" s="60">
        <f t="shared" si="0"/>
        <v>0</v>
      </c>
      <c r="O41" s="64">
        <v>12</v>
      </c>
    </row>
    <row r="42" spans="1:15" ht="9.75" hidden="1">
      <c r="A42" s="56">
        <f t="shared" si="1"/>
        <v>42948</v>
      </c>
      <c r="B42" s="56">
        <f>IF(N41=0,IF(DAY($I$13)=1,"","Усього"),IF(O42&gt;$I$17,"",IF(DAY($I$13)=1,IF(O42=$I$17,"Усього",IF(A42=$A$29,DATE(YEAR($I$15),MONTH($I$15),DAY($I$15)),DATE(YEAR(A42),MONTH(A42),DAY($I$18)))),IF(A42=$A$29,DATE(YEAR($I$15),MONTH($I$15),DAY($I$15)),DATE(YEAR(A42),MONTH(A42),DAY($I$18))))))</f>
      </c>
      <c r="C42" s="57">
        <f>IF(B42="","",IF(B42="Усього",SUM(C$30:C41),SUM(D42:K42)))</f>
      </c>
      <c r="D42" s="57">
        <f>IF(B42="","",IF($N41=0,SUM($D$30:$D41),IF($I$15=B41:B42,$D$30+#REF!,ROUND(-$D$29/$J$17,0))))</f>
      </c>
      <c r="E42" s="57">
        <f>IF(OR($B41="Усього",$B41=""),"",IF($N41=0,SUM(E$30:E41),N41*$E$18*(B42-B41)/365))</f>
        <v>4575.323796472388</v>
      </c>
      <c r="F42" s="57">
        <f>IF(B42="","",IF($N41=0,SUM(F$29:F41),0))</f>
      </c>
      <c r="G42" s="57">
        <f>IF(OR($B41="Усього",$B41=""),"",IF($N41=0,SUM(G$29:G41),0))</f>
        <v>0</v>
      </c>
      <c r="H42" s="59">
        <f>SUM(H29:H41)</f>
        <v>0</v>
      </c>
      <c r="I42" s="57">
        <f>IF(OR($B41="Усього",$B41=""),"",IF($N41=0,SUM(I$29:I41),0))</f>
        <v>1143.6070474564337</v>
      </c>
      <c r="J42" s="57">
        <f>IF(OR($B41="Усього",$B41=""),"",IF($N41=0,SUM(J$29:J41),0))</f>
        <v>0</v>
      </c>
      <c r="K42" s="57">
        <f>IF(OR($B41="Усього",$B41=""),"",IF($N41=0,SUM(K$29:K41),0))</f>
        <v>0</v>
      </c>
      <c r="L42" s="62">
        <f>IF(OR($B41="Усього",$B41=""),"",IF($N41=0,_XLL.ЧИСТВНДОХ($C$29:$C$41,$B$29:$B$41,0.2),"Х"))</f>
        <v>0.8170145153999329</v>
      </c>
      <c r="M42" s="63">
        <f t="shared" si="2"/>
        <v>5718.930843928822</v>
      </c>
      <c r="N42" s="60">
        <f t="shared" si="0"/>
      </c>
      <c r="O42" s="64">
        <v>13</v>
      </c>
    </row>
    <row r="43" ht="9.75" hidden="1"/>
    <row r="44" ht="9.75" hidden="1"/>
    <row r="45" ht="9.75" hidden="1"/>
    <row r="46" ht="9.75" hidden="1"/>
    <row r="47" ht="9.75" hidden="1"/>
    <row r="48" ht="9.75" hidden="1"/>
    <row r="49" ht="9.75" hidden="1"/>
    <row r="50" ht="60" customHeight="1"/>
    <row r="51" spans="1:10" ht="20.25">
      <c r="A51" s="76"/>
      <c r="B51" s="99" t="s">
        <v>37</v>
      </c>
      <c r="C51" s="99"/>
      <c r="D51" s="99"/>
      <c r="E51" s="99"/>
      <c r="F51" s="99"/>
      <c r="G51" s="99"/>
      <c r="H51" s="99"/>
      <c r="I51" s="77">
        <v>10000</v>
      </c>
      <c r="J51" s="85" t="s">
        <v>29</v>
      </c>
    </row>
    <row r="52" spans="1:10" ht="9.75" customHeight="1">
      <c r="A52" s="76"/>
      <c r="B52" s="78"/>
      <c r="C52" s="78"/>
      <c r="D52" s="78"/>
      <c r="E52" s="78"/>
      <c r="F52" s="78"/>
      <c r="G52" s="79"/>
      <c r="H52" s="76"/>
      <c r="I52" s="71"/>
      <c r="J52" s="65"/>
    </row>
    <row r="53" spans="1:10" ht="17.25">
      <c r="A53" s="76"/>
      <c r="B53" s="96" t="s">
        <v>36</v>
      </c>
      <c r="C53" s="96"/>
      <c r="D53" s="96"/>
      <c r="E53" s="96"/>
      <c r="F53" s="96"/>
      <c r="G53" s="96"/>
      <c r="H53" s="96"/>
      <c r="I53" s="80">
        <v>0.48</v>
      </c>
      <c r="J53" s="65"/>
    </row>
    <row r="54" spans="1:10" s="75" customFormat="1" ht="9.75" customHeight="1">
      <c r="A54" s="81"/>
      <c r="B54" s="72"/>
      <c r="C54" s="72"/>
      <c r="D54" s="72"/>
      <c r="E54" s="72"/>
      <c r="F54" s="72"/>
      <c r="G54" s="72"/>
      <c r="H54" s="72"/>
      <c r="I54" s="73"/>
      <c r="J54" s="74"/>
    </row>
    <row r="55" spans="1:10" ht="17.25">
      <c r="A55" s="76"/>
      <c r="B55" s="96" t="s">
        <v>40</v>
      </c>
      <c r="C55" s="96"/>
      <c r="D55" s="96"/>
      <c r="E55" s="96"/>
      <c r="F55" s="96"/>
      <c r="G55" s="96"/>
      <c r="H55" s="96"/>
      <c r="I55" s="80">
        <v>0.01</v>
      </c>
      <c r="J55" s="65"/>
    </row>
    <row r="56" spans="1:10" ht="9.75" customHeight="1">
      <c r="A56" s="76"/>
      <c r="B56" s="78"/>
      <c r="C56" s="78"/>
      <c r="D56" s="78"/>
      <c r="E56" s="78"/>
      <c r="F56" s="78"/>
      <c r="G56" s="79"/>
      <c r="H56" s="76"/>
      <c r="I56" s="71"/>
      <c r="J56" s="65"/>
    </row>
    <row r="57" spans="1:10" ht="17.25">
      <c r="A57" s="76"/>
      <c r="B57" s="96" t="s">
        <v>28</v>
      </c>
      <c r="C57" s="96"/>
      <c r="D57" s="96"/>
      <c r="E57" s="96"/>
      <c r="F57" s="96"/>
      <c r="G57" s="96"/>
      <c r="H57" s="96"/>
      <c r="I57" s="82">
        <f>C30</f>
        <v>600</v>
      </c>
      <c r="J57" s="65" t="s">
        <v>29</v>
      </c>
    </row>
    <row r="58" spans="1:10" ht="9.75" customHeight="1">
      <c r="A58" s="76"/>
      <c r="B58" s="78"/>
      <c r="C58" s="78"/>
      <c r="D58" s="78"/>
      <c r="E58" s="78"/>
      <c r="F58" s="78"/>
      <c r="G58" s="78"/>
      <c r="H58" s="78"/>
      <c r="I58" s="82"/>
      <c r="J58" s="65"/>
    </row>
    <row r="59" spans="1:10" ht="17.25">
      <c r="A59" s="96" t="s">
        <v>38</v>
      </c>
      <c r="B59" s="96"/>
      <c r="C59" s="96"/>
      <c r="D59" s="96"/>
      <c r="E59" s="96"/>
      <c r="F59" s="96"/>
      <c r="G59" s="96"/>
      <c r="H59" s="96"/>
      <c r="I59" s="82">
        <f>M42</f>
        <v>5718.930843928822</v>
      </c>
      <c r="J59" s="65" t="s">
        <v>29</v>
      </c>
    </row>
    <row r="60" spans="1:10" ht="9.75" customHeight="1">
      <c r="A60" s="78"/>
      <c r="B60" s="78"/>
      <c r="C60" s="78"/>
      <c r="D60" s="78"/>
      <c r="E60" s="78"/>
      <c r="F60" s="83"/>
      <c r="G60" s="79"/>
      <c r="H60" s="76"/>
      <c r="I60" s="82"/>
      <c r="J60" s="65"/>
    </row>
    <row r="61" spans="1:10" ht="17.25">
      <c r="A61" s="83"/>
      <c r="B61" s="96" t="s">
        <v>39</v>
      </c>
      <c r="C61" s="96"/>
      <c r="D61" s="96"/>
      <c r="E61" s="96"/>
      <c r="F61" s="96"/>
      <c r="G61" s="96"/>
      <c r="H61" s="96"/>
      <c r="I61" s="82">
        <f>I11+M42</f>
        <v>15718.930843928822</v>
      </c>
      <c r="J61" s="65" t="s">
        <v>29</v>
      </c>
    </row>
    <row r="62" spans="1:10" ht="9.75" customHeight="1">
      <c r="A62" s="83"/>
      <c r="B62" s="78"/>
      <c r="C62" s="78"/>
      <c r="D62" s="78"/>
      <c r="E62" s="78"/>
      <c r="F62" s="78"/>
      <c r="G62" s="79"/>
      <c r="H62" s="76"/>
      <c r="I62" s="82"/>
      <c r="J62" s="65"/>
    </row>
    <row r="63" spans="1:10" ht="17.25">
      <c r="A63" s="76"/>
      <c r="B63" s="96" t="s">
        <v>41</v>
      </c>
      <c r="C63" s="96"/>
      <c r="D63" s="96"/>
      <c r="E63" s="96"/>
      <c r="F63" s="96"/>
      <c r="G63" s="96"/>
      <c r="H63" s="96"/>
      <c r="I63" s="84">
        <f>L42</f>
        <v>0.8170145153999329</v>
      </c>
      <c r="J63" s="65"/>
    </row>
    <row r="64" spans="6:7" ht="49.5" customHeight="1">
      <c r="F64" s="66"/>
      <c r="G64" s="67"/>
    </row>
    <row r="65" spans="2:10" ht="120" customHeight="1">
      <c r="B65" s="98" t="s">
        <v>30</v>
      </c>
      <c r="C65" s="98"/>
      <c r="D65" s="98"/>
      <c r="E65" s="98"/>
      <c r="F65" s="98"/>
      <c r="G65" s="98"/>
      <c r="H65" s="98"/>
      <c r="I65" s="98"/>
      <c r="J65" s="98"/>
    </row>
    <row r="66" spans="2:10" ht="39.75" customHeight="1">
      <c r="B66" s="97" t="s">
        <v>35</v>
      </c>
      <c r="C66" s="97"/>
      <c r="D66" s="97"/>
      <c r="E66" s="97"/>
      <c r="F66" s="97"/>
      <c r="G66" s="97"/>
      <c r="H66" s="97"/>
      <c r="I66" s="97"/>
      <c r="J66" s="97"/>
    </row>
    <row r="67" spans="6:7" ht="18" hidden="1">
      <c r="F67" s="66"/>
      <c r="G67" s="67"/>
    </row>
    <row r="68" spans="2:7" ht="18" hidden="1">
      <c r="B68" s="67"/>
      <c r="C68" s="67"/>
      <c r="D68" s="67"/>
      <c r="E68" s="66"/>
      <c r="F68" s="66"/>
      <c r="G68" s="67"/>
    </row>
    <row r="69" spans="2:7" ht="18" hidden="1">
      <c r="B69" s="67"/>
      <c r="C69" s="67"/>
      <c r="D69" s="68"/>
      <c r="E69" s="67"/>
      <c r="F69" s="67"/>
      <c r="G69" s="69"/>
    </row>
    <row r="70" spans="2:7" ht="18" hidden="1">
      <c r="B70" s="67"/>
      <c r="C70" s="67"/>
      <c r="D70" s="70"/>
      <c r="E70" s="67"/>
      <c r="F70" s="67"/>
      <c r="G70" s="69"/>
    </row>
  </sheetData>
  <sheetProtection password="CC99" sheet="1"/>
  <protectedRanges>
    <protectedRange sqref="B9:H12" name="Диапазон12"/>
    <protectedRange sqref="D9:G14" name="Диапазон8"/>
    <protectedRange sqref="D11:G11" name="Диапазон6"/>
    <protectedRange sqref="E18" name="Диапазон4"/>
    <protectedRange sqref="I11:I15" name="Диапазон2"/>
    <protectedRange sqref="I1:K3" name="Диапазон1"/>
    <protectedRange sqref="A1:IV8" name="Диапазон5"/>
    <protectedRange sqref="E9:G21" name="Диапазон9"/>
    <protectedRange sqref="F1:G8" name="Диапазон11"/>
  </protectedRanges>
  <mergeCells count="17">
    <mergeCell ref="B53:H53"/>
    <mergeCell ref="B66:J66"/>
    <mergeCell ref="B65:J65"/>
    <mergeCell ref="B57:H57"/>
    <mergeCell ref="B51:H51"/>
    <mergeCell ref="A59:H59"/>
    <mergeCell ref="B61:H61"/>
    <mergeCell ref="B63:H63"/>
    <mergeCell ref="B55:H55"/>
    <mergeCell ref="B17:D17"/>
    <mergeCell ref="B22:H22"/>
    <mergeCell ref="B23:B26"/>
    <mergeCell ref="C23:C26"/>
    <mergeCell ref="L23:L26"/>
    <mergeCell ref="M23:M26"/>
    <mergeCell ref="D24:D26"/>
    <mergeCell ref="E24:E26"/>
  </mergeCells>
  <dataValidations count="1">
    <dataValidation showInputMessage="1" showErrorMessage="1" sqref="G1"/>
  </dataValidations>
  <printOptions/>
  <pageMargins left="0" right="0" top="0" bottom="0" header="0" footer="0"/>
  <pageSetup horizontalDpi="600" verticalDpi="600" orientation="portrait" paperSize="9" scale="70" r:id="rId2"/>
  <ignoredErrors>
    <ignoredError sqref="I63 I59 I6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DZamotaev</dc:creator>
  <cp:keywords/>
  <dc:description/>
  <cp:lastModifiedBy>Бока Андрій</cp:lastModifiedBy>
  <cp:lastPrinted>2013-03-27T12:16:46Z</cp:lastPrinted>
  <dcterms:created xsi:type="dcterms:W3CDTF">2007-05-30T09:57:41Z</dcterms:created>
  <dcterms:modified xsi:type="dcterms:W3CDTF">2020-09-02T06:28:55Z</dcterms:modified>
  <cp:category/>
  <cp:version/>
  <cp:contentType/>
  <cp:contentStatus/>
</cp:coreProperties>
</file>