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B631" lockStructure="1"/>
  <bookViews>
    <workbookView xWindow="0" yWindow="48" windowWidth="15192" windowHeight="8448" tabRatio="863" activeTab="1"/>
  </bookViews>
  <sheets>
    <sheet name="Зустрічна пропозиція до 200" sheetId="187" r:id="rId1"/>
    <sheet name="Зустрічна пропозиція 200-500 " sheetId="186" r:id="rId2"/>
    <sheet name="Зустрічна пропозиція+відділення" sheetId="188" r:id="rId3"/>
    <sheet name="Лист2" sheetId="165" state="hidden" r:id="rId4"/>
    <sheet name="Назви" sheetId="161" state="hidden" r:id="rId5"/>
    <sheet name="Лист4" sheetId="189" state="hidden" r:id="rId6"/>
  </sheets>
  <definedNames>
    <definedName name="_xlnm._FilterDatabase" localSheetId="1" hidden="1">'Зустрічна пропозиція 200-500 '!$A$29:$H$91</definedName>
    <definedName name="_xlnm._FilterDatabase" localSheetId="0" hidden="1">'Зустрічна пропозиція до 200'!$A$29:$H$91</definedName>
    <definedName name="_xlnm._FilterDatabase" localSheetId="2" hidden="1">'Зустрічна пропозиція+відділення'!$A$29:$H$91</definedName>
    <definedName name="_xlnm.Print_Area" localSheetId="1">'Зустрічна пропозиція 200-500 '!$A$1:$I$94</definedName>
    <definedName name="_xlnm.Print_Area" localSheetId="0">'Зустрічна пропозиція до 200'!$A$1:$I$94</definedName>
    <definedName name="_xlnm.Print_Area" localSheetId="2">'Зустрічна пропозиція+відділення'!$A$1:$I$94</definedName>
  </definedNames>
  <calcPr calcId="145621"/>
</workbook>
</file>

<file path=xl/calcChain.xml><?xml version="1.0" encoding="utf-8"?>
<calcChain xmlns="http://schemas.openxmlformats.org/spreadsheetml/2006/main">
  <c r="K14" i="188" l="1"/>
  <c r="K15" i="188"/>
  <c r="K16" i="188"/>
  <c r="K17" i="188"/>
  <c r="K18" i="188"/>
  <c r="K13" i="188"/>
  <c r="K14" i="186"/>
  <c r="K15" i="186"/>
  <c r="K16" i="186"/>
  <c r="K17" i="186"/>
  <c r="H21" i="165"/>
  <c r="K21" i="165" s="1"/>
  <c r="G21" i="165"/>
  <c r="H20" i="165"/>
  <c r="K20" i="165" s="1"/>
  <c r="G20" i="165"/>
  <c r="K19" i="165"/>
  <c r="H19" i="165"/>
  <c r="G19" i="165"/>
  <c r="H18" i="165"/>
  <c r="K18" i="165" s="1"/>
  <c r="G18" i="165"/>
  <c r="K17" i="165"/>
  <c r="H17" i="165"/>
  <c r="G17" i="165"/>
  <c r="H16" i="165"/>
  <c r="K16" i="165" s="1"/>
  <c r="G16" i="165"/>
  <c r="H14" i="165"/>
  <c r="K14" i="165" s="1"/>
  <c r="G14" i="165"/>
  <c r="K13" i="165"/>
  <c r="H13" i="165"/>
  <c r="G13" i="165"/>
  <c r="K12" i="165"/>
  <c r="H12" i="165"/>
  <c r="G12" i="165"/>
  <c r="H11" i="165"/>
  <c r="K11" i="165" s="1"/>
  <c r="G11" i="165"/>
  <c r="C30" i="188" l="1"/>
  <c r="C31" i="188" s="1"/>
  <c r="C32" i="188" s="1"/>
  <c r="C33" i="188" s="1"/>
  <c r="C34" i="188" s="1"/>
  <c r="C35" i="188" s="1"/>
  <c r="C36" i="188" s="1"/>
  <c r="C37" i="188" s="1"/>
  <c r="C38" i="188" s="1"/>
  <c r="C39" i="188" s="1"/>
  <c r="C40" i="188" s="1"/>
  <c r="C41" i="188" s="1"/>
  <c r="C42" i="188" s="1"/>
  <c r="C43" i="188" s="1"/>
  <c r="C44" i="188" s="1"/>
  <c r="C45" i="188" s="1"/>
  <c r="C46" i="188" s="1"/>
  <c r="C47" i="188" s="1"/>
  <c r="C48" i="188" s="1"/>
  <c r="C49" i="188" s="1"/>
  <c r="C50" i="188" s="1"/>
  <c r="C51" i="188" s="1"/>
  <c r="C52" i="188" s="1"/>
  <c r="C53" i="188" s="1"/>
  <c r="C54" i="188" s="1"/>
  <c r="C55" i="188" s="1"/>
  <c r="C56" i="188" s="1"/>
  <c r="C57" i="188" s="1"/>
  <c r="C58" i="188" s="1"/>
  <c r="C59" i="188" s="1"/>
  <c r="C60" i="188" s="1"/>
  <c r="C61" i="188" s="1"/>
  <c r="C62" i="188" s="1"/>
  <c r="C63" i="188" s="1"/>
  <c r="C64" i="188" s="1"/>
  <c r="C65" i="188" s="1"/>
  <c r="C66" i="188" s="1"/>
  <c r="C67" i="188" s="1"/>
  <c r="C68" i="188" s="1"/>
  <c r="C69" i="188" s="1"/>
  <c r="C70" i="188" s="1"/>
  <c r="C71" i="188" s="1"/>
  <c r="C72" i="188" s="1"/>
  <c r="C73" i="188" s="1"/>
  <c r="C74" i="188" s="1"/>
  <c r="C75" i="188" s="1"/>
  <c r="C76" i="188" s="1"/>
  <c r="C77" i="188" s="1"/>
  <c r="C78" i="188" s="1"/>
  <c r="C79" i="188" s="1"/>
  <c r="C80" i="188" s="1"/>
  <c r="C81" i="188" s="1"/>
  <c r="C82" i="188" s="1"/>
  <c r="C83" i="188" s="1"/>
  <c r="C84" i="188" s="1"/>
  <c r="C85" i="188" s="1"/>
  <c r="C86" i="188" s="1"/>
  <c r="C87" i="188" s="1"/>
  <c r="C88" i="188" s="1"/>
  <c r="C89" i="188" s="1"/>
  <c r="C90" i="188" s="1"/>
  <c r="G29" i="188"/>
  <c r="F29" i="188"/>
  <c r="E29" i="188"/>
  <c r="D29" i="188"/>
  <c r="C29" i="188"/>
  <c r="B28" i="188"/>
  <c r="B26" i="188"/>
  <c r="E24" i="188"/>
  <c r="D24" i="188"/>
  <c r="C24" i="188"/>
  <c r="B24" i="188"/>
  <c r="E22" i="188"/>
  <c r="D22" i="188"/>
  <c r="C22" i="188"/>
  <c r="B22" i="188"/>
  <c r="E20" i="188"/>
  <c r="D20" i="188"/>
  <c r="C20" i="188"/>
  <c r="B20" i="188"/>
  <c r="F17" i="188"/>
  <c r="E17" i="188"/>
  <c r="D17" i="188"/>
  <c r="C17" i="188"/>
  <c r="B17" i="188"/>
  <c r="F15" i="188"/>
  <c r="E15" i="188"/>
  <c r="D15" i="188"/>
  <c r="C15" i="188"/>
  <c r="B15" i="188"/>
  <c r="F13" i="188"/>
  <c r="E18" i="188" s="1"/>
  <c r="E13" i="188"/>
  <c r="D13" i="188"/>
  <c r="C13" i="188"/>
  <c r="B13" i="188"/>
  <c r="F11" i="188"/>
  <c r="E11" i="188"/>
  <c r="D11" i="188"/>
  <c r="C11" i="188"/>
  <c r="B11" i="188"/>
  <c r="H3" i="188"/>
  <c r="G3" i="188"/>
  <c r="G2" i="188"/>
  <c r="F2" i="188"/>
  <c r="E2" i="188"/>
  <c r="C30" i="187"/>
  <c r="C31" i="187" s="1"/>
  <c r="C32" i="187" s="1"/>
  <c r="C33" i="187" s="1"/>
  <c r="C34" i="187" s="1"/>
  <c r="C35" i="187" s="1"/>
  <c r="C36" i="187" s="1"/>
  <c r="C37" i="187" s="1"/>
  <c r="C38" i="187" s="1"/>
  <c r="C39" i="187" s="1"/>
  <c r="C40" i="187" s="1"/>
  <c r="C41" i="187" s="1"/>
  <c r="C42" i="187" s="1"/>
  <c r="C43" i="187" s="1"/>
  <c r="C44" i="187" s="1"/>
  <c r="C45" i="187" s="1"/>
  <c r="C46" i="187" s="1"/>
  <c r="C47" i="187" s="1"/>
  <c r="C48" i="187" s="1"/>
  <c r="C49" i="187" s="1"/>
  <c r="C50" i="187" s="1"/>
  <c r="C51" i="187" s="1"/>
  <c r="C52" i="187" s="1"/>
  <c r="C53" i="187" s="1"/>
  <c r="C54" i="187" s="1"/>
  <c r="C55" i="187" s="1"/>
  <c r="C56" i="187" s="1"/>
  <c r="C57" i="187" s="1"/>
  <c r="C58" i="187" s="1"/>
  <c r="C59" i="187" s="1"/>
  <c r="C60" i="187" s="1"/>
  <c r="C61" i="187" s="1"/>
  <c r="C62" i="187" s="1"/>
  <c r="C63" i="187" s="1"/>
  <c r="C64" i="187" s="1"/>
  <c r="C65" i="187" s="1"/>
  <c r="C66" i="187" s="1"/>
  <c r="C67" i="187" s="1"/>
  <c r="C68" i="187" s="1"/>
  <c r="C69" i="187" s="1"/>
  <c r="C70" i="187" s="1"/>
  <c r="C71" i="187" s="1"/>
  <c r="C72" i="187" s="1"/>
  <c r="C73" i="187" s="1"/>
  <c r="C74" i="187" s="1"/>
  <c r="C75" i="187" s="1"/>
  <c r="C76" i="187" s="1"/>
  <c r="C77" i="187" s="1"/>
  <c r="C78" i="187" s="1"/>
  <c r="C79" i="187" s="1"/>
  <c r="C80" i="187" s="1"/>
  <c r="C81" i="187" s="1"/>
  <c r="C82" i="187" s="1"/>
  <c r="C83" i="187" s="1"/>
  <c r="C84" i="187" s="1"/>
  <c r="C85" i="187" s="1"/>
  <c r="C86" i="187" s="1"/>
  <c r="C87" i="187" s="1"/>
  <c r="C88" i="187" s="1"/>
  <c r="C89" i="187" s="1"/>
  <c r="C90" i="187" s="1"/>
  <c r="G29" i="187"/>
  <c r="F29" i="187"/>
  <c r="E29" i="187"/>
  <c r="D29" i="187"/>
  <c r="C29" i="187"/>
  <c r="B28" i="187"/>
  <c r="B26" i="187"/>
  <c r="E24" i="187"/>
  <c r="D24" i="187"/>
  <c r="C24" i="187"/>
  <c r="B24" i="187"/>
  <c r="E22" i="187"/>
  <c r="D22" i="187"/>
  <c r="C22" i="187"/>
  <c r="B22" i="187"/>
  <c r="E20" i="187"/>
  <c r="D20" i="187"/>
  <c r="C20" i="187"/>
  <c r="B20" i="187"/>
  <c r="K18" i="187"/>
  <c r="K17" i="187"/>
  <c r="F17" i="187"/>
  <c r="E17" i="187"/>
  <c r="D17" i="187"/>
  <c r="C17" i="187"/>
  <c r="B17" i="187"/>
  <c r="K16" i="187"/>
  <c r="K15" i="187"/>
  <c r="F15" i="187"/>
  <c r="E15" i="187"/>
  <c r="D15" i="187"/>
  <c r="C15" i="187"/>
  <c r="B15" i="187"/>
  <c r="K14" i="187"/>
  <c r="K13" i="187"/>
  <c r="F13" i="187"/>
  <c r="E18" i="187" s="1"/>
  <c r="F9" i="187" s="1"/>
  <c r="E13" i="187"/>
  <c r="D13" i="187"/>
  <c r="C13" i="187"/>
  <c r="B13" i="187"/>
  <c r="F11" i="187"/>
  <c r="E11" i="187"/>
  <c r="D11" i="187"/>
  <c r="C11" i="187"/>
  <c r="B11" i="187"/>
  <c r="H3" i="187"/>
  <c r="G3" i="187"/>
  <c r="G2" i="187"/>
  <c r="F2" i="187"/>
  <c r="E2" i="187"/>
  <c r="E3" i="188" l="1"/>
  <c r="G30" i="188" s="1"/>
  <c r="E3" i="187"/>
  <c r="F3" i="187" s="1"/>
  <c r="F9" i="188"/>
  <c r="G30" i="187" l="1"/>
  <c r="E19" i="188"/>
  <c r="E35" i="188" s="1"/>
  <c r="F3" i="188"/>
  <c r="E19" i="187"/>
  <c r="E50" i="188" l="1"/>
  <c r="E33" i="188"/>
  <c r="E32" i="188"/>
  <c r="E54" i="188"/>
  <c r="E49" i="188"/>
  <c r="E40" i="188"/>
  <c r="E44" i="188"/>
  <c r="E55" i="188"/>
  <c r="E36" i="188"/>
  <c r="E61" i="188"/>
  <c r="E86" i="188"/>
  <c r="E45" i="188"/>
  <c r="E43" i="188"/>
  <c r="F31" i="187"/>
  <c r="E31" i="187"/>
  <c r="E74" i="188"/>
  <c r="E31" i="188"/>
  <c r="E68" i="188"/>
  <c r="E67" i="188"/>
  <c r="E57" i="188"/>
  <c r="E39" i="188"/>
  <c r="E71" i="188"/>
  <c r="E64" i="188"/>
  <c r="E48" i="188"/>
  <c r="E56" i="188"/>
  <c r="E41" i="188"/>
  <c r="E90" i="188"/>
  <c r="E79" i="188"/>
  <c r="E72" i="188"/>
  <c r="E82" i="188"/>
  <c r="E42" i="188"/>
  <c r="F31" i="188"/>
  <c r="E46" i="188"/>
  <c r="E62" i="188"/>
  <c r="E37" i="188"/>
  <c r="E70" i="188"/>
  <c r="E66" i="188"/>
  <c r="E77" i="188"/>
  <c r="E63" i="188"/>
  <c r="E89" i="188"/>
  <c r="E80" i="188"/>
  <c r="E51" i="188"/>
  <c r="E69" i="188"/>
  <c r="E83" i="188"/>
  <c r="E38" i="188"/>
  <c r="E34" i="188"/>
  <c r="E52" i="188"/>
  <c r="E58" i="188"/>
  <c r="E60" i="188"/>
  <c r="E65" i="188"/>
  <c r="E81" i="188"/>
  <c r="E73" i="188"/>
  <c r="E53" i="188"/>
  <c r="E47" i="188"/>
  <c r="E84" i="188"/>
  <c r="E87" i="188"/>
  <c r="E78" i="188"/>
  <c r="E88" i="188"/>
  <c r="E75" i="188"/>
  <c r="F20" i="188"/>
  <c r="E85" i="188"/>
  <c r="E59" i="188"/>
  <c r="E76" i="188"/>
  <c r="E57" i="187"/>
  <c r="E73" i="187"/>
  <c r="E89" i="187"/>
  <c r="E58" i="187"/>
  <c r="E74" i="187"/>
  <c r="E90" i="187"/>
  <c r="E55" i="187"/>
  <c r="E71" i="187"/>
  <c r="E87" i="187"/>
  <c r="E56" i="187"/>
  <c r="E72" i="187"/>
  <c r="E88" i="187"/>
  <c r="E45" i="187"/>
  <c r="E61" i="187"/>
  <c r="E77" i="187"/>
  <c r="E46" i="187"/>
  <c r="E62" i="187"/>
  <c r="E78" i="187"/>
  <c r="E43" i="187"/>
  <c r="E59" i="187"/>
  <c r="E75" i="187"/>
  <c r="E44" i="187"/>
  <c r="E60" i="187"/>
  <c r="E76" i="187"/>
  <c r="E49" i="187"/>
  <c r="E65" i="187"/>
  <c r="E81" i="187"/>
  <c r="E50" i="187"/>
  <c r="E66" i="187"/>
  <c r="E82" i="187"/>
  <c r="E47" i="187"/>
  <c r="E63" i="187"/>
  <c r="E79" i="187"/>
  <c r="E48" i="187"/>
  <c r="E64" i="187"/>
  <c r="E80" i="187"/>
  <c r="E53" i="187"/>
  <c r="E69" i="187"/>
  <c r="E85" i="187"/>
  <c r="E54" i="187"/>
  <c r="E70" i="187"/>
  <c r="E86" i="187"/>
  <c r="E51" i="187"/>
  <c r="E67" i="187"/>
  <c r="E83" i="187"/>
  <c r="E52" i="187"/>
  <c r="E68" i="187"/>
  <c r="E84" i="187"/>
  <c r="F20" i="187"/>
  <c r="E37" i="187"/>
  <c r="E42" i="187"/>
  <c r="E32" i="187"/>
  <c r="E41" i="187"/>
  <c r="E36" i="187"/>
  <c r="E34" i="187"/>
  <c r="E35" i="187"/>
  <c r="E40" i="187"/>
  <c r="E33" i="187"/>
  <c r="E38" i="187"/>
  <c r="E39" i="187"/>
  <c r="D31" i="188" l="1"/>
  <c r="F32" i="188" s="1"/>
  <c r="E91" i="188"/>
  <c r="D31" i="187"/>
  <c r="F32" i="187" s="1"/>
  <c r="E91" i="187"/>
  <c r="G31" i="187" l="1"/>
  <c r="G31" i="188"/>
  <c r="D32" i="188"/>
  <c r="D32" i="187"/>
  <c r="G32" i="188" l="1"/>
  <c r="F33" i="188"/>
  <c r="G32" i="187"/>
  <c r="F33" i="187"/>
  <c r="D33" i="188" l="1"/>
  <c r="D33" i="187"/>
  <c r="G33" i="188" l="1"/>
  <c r="F34" i="188"/>
  <c r="G33" i="187"/>
  <c r="F34" i="187"/>
  <c r="D34" i="188" l="1"/>
  <c r="D34" i="187"/>
  <c r="G34" i="188" l="1"/>
  <c r="F35" i="188"/>
  <c r="D35" i="188" s="1"/>
  <c r="G35" i="188" s="1"/>
  <c r="G34" i="187"/>
  <c r="F35" i="187"/>
  <c r="D35" i="187" s="1"/>
  <c r="G35" i="187" s="1"/>
  <c r="F36" i="187" l="1"/>
  <c r="D36" i="187" s="1"/>
  <c r="G36" i="187" s="1"/>
  <c r="F36" i="188"/>
  <c r="D36" i="188" s="1"/>
  <c r="F37" i="187" l="1"/>
  <c r="D37" i="187" s="1"/>
  <c r="G37" i="187" s="1"/>
  <c r="G36" i="188"/>
  <c r="F37" i="188"/>
  <c r="D37" i="188" s="1"/>
  <c r="F38" i="187" l="1"/>
  <c r="D38" i="187" s="1"/>
  <c r="F39" i="187" s="1"/>
  <c r="D39" i="187" s="1"/>
  <c r="G37" i="188"/>
  <c r="F38" i="188"/>
  <c r="D38" i="188" s="1"/>
  <c r="G38" i="187" l="1"/>
  <c r="G38" i="188"/>
  <c r="F39" i="188"/>
  <c r="D39" i="188" s="1"/>
  <c r="G39" i="187"/>
  <c r="F40" i="187"/>
  <c r="D40" i="187" s="1"/>
  <c r="G39" i="188" l="1"/>
  <c r="F40" i="188"/>
  <c r="D40" i="188" s="1"/>
  <c r="G40" i="187"/>
  <c r="F41" i="187"/>
  <c r="D41" i="187" s="1"/>
  <c r="G40" i="188" l="1"/>
  <c r="F41" i="188"/>
  <c r="D41" i="188" s="1"/>
  <c r="G41" i="187"/>
  <c r="F42" i="187"/>
  <c r="D42" i="187" s="1"/>
  <c r="G41" i="188" l="1"/>
  <c r="F42" i="188"/>
  <c r="D42" i="188" s="1"/>
  <c r="G42" i="187"/>
  <c r="F43" i="187"/>
  <c r="D43" i="187" s="1"/>
  <c r="G42" i="188" l="1"/>
  <c r="F43" i="188"/>
  <c r="D43" i="188" s="1"/>
  <c r="G43" i="187"/>
  <c r="F44" i="187"/>
  <c r="D44" i="187" s="1"/>
  <c r="G43" i="188" l="1"/>
  <c r="F44" i="188"/>
  <c r="D44" i="188" s="1"/>
  <c r="G44" i="187"/>
  <c r="F45" i="187"/>
  <c r="D45" i="187" s="1"/>
  <c r="G44" i="188" l="1"/>
  <c r="F45" i="188"/>
  <c r="D45" i="188" s="1"/>
  <c r="G45" i="187"/>
  <c r="F46" i="187"/>
  <c r="D46" i="187" s="1"/>
  <c r="G45" i="188" l="1"/>
  <c r="F46" i="188"/>
  <c r="D46" i="188" s="1"/>
  <c r="G46" i="187"/>
  <c r="F47" i="187"/>
  <c r="D47" i="187" s="1"/>
  <c r="G46" i="188" l="1"/>
  <c r="F47" i="188"/>
  <c r="D47" i="188" s="1"/>
  <c r="G47" i="187"/>
  <c r="F48" i="187"/>
  <c r="D48" i="187" s="1"/>
  <c r="G47" i="188" l="1"/>
  <c r="F48" i="188"/>
  <c r="D48" i="188" s="1"/>
  <c r="G48" i="187"/>
  <c r="F49" i="187"/>
  <c r="D49" i="187" s="1"/>
  <c r="G48" i="188" l="1"/>
  <c r="F49" i="188"/>
  <c r="D49" i="188" s="1"/>
  <c r="G49" i="187"/>
  <c r="F50" i="187"/>
  <c r="D50" i="187" s="1"/>
  <c r="G49" i="188" l="1"/>
  <c r="F50" i="188"/>
  <c r="D50" i="188" s="1"/>
  <c r="G50" i="187"/>
  <c r="F51" i="187"/>
  <c r="D51" i="187" s="1"/>
  <c r="G50" i="188" l="1"/>
  <c r="F51" i="188"/>
  <c r="D51" i="188" s="1"/>
  <c r="G51" i="187"/>
  <c r="F52" i="187"/>
  <c r="D52" i="187" s="1"/>
  <c r="G51" i="188" l="1"/>
  <c r="F52" i="188"/>
  <c r="D52" i="188" s="1"/>
  <c r="G52" i="187"/>
  <c r="F53" i="187"/>
  <c r="D53" i="187" s="1"/>
  <c r="G52" i="188" l="1"/>
  <c r="F53" i="188"/>
  <c r="D53" i="188" s="1"/>
  <c r="G53" i="187"/>
  <c r="F54" i="187"/>
  <c r="D54" i="187" s="1"/>
  <c r="G53" i="188" l="1"/>
  <c r="F54" i="188"/>
  <c r="D54" i="188" s="1"/>
  <c r="G54" i="187"/>
  <c r="F55" i="187"/>
  <c r="D55" i="187" s="1"/>
  <c r="G54" i="188" l="1"/>
  <c r="F55" i="188"/>
  <c r="D55" i="188" s="1"/>
  <c r="G55" i="187"/>
  <c r="F56" i="187"/>
  <c r="D56" i="187" s="1"/>
  <c r="G55" i="188" l="1"/>
  <c r="F56" i="188"/>
  <c r="D56" i="188" s="1"/>
  <c r="G56" i="187"/>
  <c r="F57" i="187"/>
  <c r="D57" i="187" s="1"/>
  <c r="G56" i="188" l="1"/>
  <c r="F57" i="188"/>
  <c r="D57" i="188" s="1"/>
  <c r="G57" i="187"/>
  <c r="F58" i="187"/>
  <c r="D58" i="187" s="1"/>
  <c r="G57" i="188" l="1"/>
  <c r="F58" i="188"/>
  <c r="D58" i="188" s="1"/>
  <c r="G58" i="187"/>
  <c r="F59" i="187"/>
  <c r="D59" i="187" s="1"/>
  <c r="G58" i="188" l="1"/>
  <c r="F59" i="188"/>
  <c r="D59" i="188" s="1"/>
  <c r="G59" i="187"/>
  <c r="F60" i="187"/>
  <c r="D60" i="187" s="1"/>
  <c r="G59" i="188" l="1"/>
  <c r="F60" i="188"/>
  <c r="D60" i="188" s="1"/>
  <c r="G60" i="187"/>
  <c r="F61" i="187"/>
  <c r="D61" i="187" s="1"/>
  <c r="G60" i="188" l="1"/>
  <c r="F61" i="188"/>
  <c r="D61" i="188" s="1"/>
  <c r="G61" i="187"/>
  <c r="F62" i="187"/>
  <c r="D62" i="187" s="1"/>
  <c r="G61" i="188" l="1"/>
  <c r="F62" i="188"/>
  <c r="D62" i="188" s="1"/>
  <c r="G62" i="187"/>
  <c r="F63" i="187"/>
  <c r="D63" i="187" s="1"/>
  <c r="G62" i="188" l="1"/>
  <c r="F63" i="188"/>
  <c r="D63" i="188" s="1"/>
  <c r="G63" i="187"/>
  <c r="F64" i="187"/>
  <c r="D64" i="187" s="1"/>
  <c r="G63" i="188" l="1"/>
  <c r="F64" i="188"/>
  <c r="D64" i="188" s="1"/>
  <c r="G64" i="187"/>
  <c r="F65" i="187"/>
  <c r="D65" i="187" s="1"/>
  <c r="G64" i="188" l="1"/>
  <c r="F65" i="188"/>
  <c r="D65" i="188" s="1"/>
  <c r="G65" i="187"/>
  <c r="F66" i="187"/>
  <c r="D66" i="187" s="1"/>
  <c r="G65" i="188" l="1"/>
  <c r="F66" i="188"/>
  <c r="D66" i="188" s="1"/>
  <c r="G66" i="187"/>
  <c r="F67" i="187"/>
  <c r="D67" i="187" s="1"/>
  <c r="G66" i="188" l="1"/>
  <c r="F67" i="188"/>
  <c r="D67" i="188" s="1"/>
  <c r="G67" i="187"/>
  <c r="F68" i="187"/>
  <c r="D68" i="187" s="1"/>
  <c r="G67" i="188" l="1"/>
  <c r="F68" i="188"/>
  <c r="D68" i="188" s="1"/>
  <c r="G68" i="187"/>
  <c r="F69" i="187"/>
  <c r="D69" i="187" s="1"/>
  <c r="G68" i="188" l="1"/>
  <c r="F69" i="188"/>
  <c r="D69" i="188" s="1"/>
  <c r="G69" i="187"/>
  <c r="F70" i="187"/>
  <c r="D70" i="187" s="1"/>
  <c r="G69" i="188" l="1"/>
  <c r="F70" i="188"/>
  <c r="D70" i="188" s="1"/>
  <c r="G70" i="187"/>
  <c r="F71" i="187"/>
  <c r="D71" i="187" s="1"/>
  <c r="G70" i="188" l="1"/>
  <c r="F71" i="188"/>
  <c r="D71" i="188" s="1"/>
  <c r="G71" i="187"/>
  <c r="F72" i="187"/>
  <c r="D72" i="187" s="1"/>
  <c r="G71" i="188" l="1"/>
  <c r="F72" i="188"/>
  <c r="D72" i="188" s="1"/>
  <c r="G72" i="187"/>
  <c r="F73" i="187"/>
  <c r="D73" i="187" s="1"/>
  <c r="G72" i="188" l="1"/>
  <c r="F73" i="188"/>
  <c r="D73" i="188" s="1"/>
  <c r="G73" i="187"/>
  <c r="F74" i="187"/>
  <c r="D74" i="187" s="1"/>
  <c r="G73" i="188" l="1"/>
  <c r="F74" i="188"/>
  <c r="D74" i="188" s="1"/>
  <c r="G74" i="187"/>
  <c r="F75" i="187"/>
  <c r="D75" i="187" s="1"/>
  <c r="G74" i="188" l="1"/>
  <c r="F75" i="188"/>
  <c r="D75" i="188" s="1"/>
  <c r="G75" i="187"/>
  <c r="F76" i="187"/>
  <c r="D76" i="187" s="1"/>
  <c r="G75" i="188" l="1"/>
  <c r="F76" i="188"/>
  <c r="D76" i="188" s="1"/>
  <c r="G76" i="187"/>
  <c r="F77" i="187"/>
  <c r="D77" i="187" s="1"/>
  <c r="G76" i="188" l="1"/>
  <c r="F77" i="188"/>
  <c r="D77" i="188" s="1"/>
  <c r="G77" i="187"/>
  <c r="F78" i="187"/>
  <c r="D78" i="187" s="1"/>
  <c r="G77" i="188" l="1"/>
  <c r="F78" i="188"/>
  <c r="D78" i="188" s="1"/>
  <c r="G78" i="187"/>
  <c r="F79" i="187"/>
  <c r="D79" i="187" s="1"/>
  <c r="G78" i="188" l="1"/>
  <c r="F79" i="188"/>
  <c r="D79" i="188" s="1"/>
  <c r="G79" i="187"/>
  <c r="F80" i="187"/>
  <c r="D80" i="187" s="1"/>
  <c r="G79" i="188" l="1"/>
  <c r="F80" i="188"/>
  <c r="D80" i="188" s="1"/>
  <c r="G80" i="187"/>
  <c r="F81" i="187"/>
  <c r="D81" i="187" s="1"/>
  <c r="G80" i="188" l="1"/>
  <c r="F81" i="188"/>
  <c r="D81" i="188" s="1"/>
  <c r="G81" i="187"/>
  <c r="F82" i="187"/>
  <c r="D82" i="187" s="1"/>
  <c r="G81" i="188" l="1"/>
  <c r="F82" i="188"/>
  <c r="D82" i="188" s="1"/>
  <c r="G82" i="187"/>
  <c r="F83" i="187"/>
  <c r="D83" i="187" s="1"/>
  <c r="G82" i="188" l="1"/>
  <c r="F83" i="188"/>
  <c r="D83" i="188" s="1"/>
  <c r="G83" i="187"/>
  <c r="F84" i="187"/>
  <c r="D84" i="187" s="1"/>
  <c r="G83" i="188" l="1"/>
  <c r="F84" i="188"/>
  <c r="D84" i="188" s="1"/>
  <c r="G84" i="187"/>
  <c r="F85" i="187"/>
  <c r="D85" i="187" s="1"/>
  <c r="G84" i="188" l="1"/>
  <c r="F85" i="188"/>
  <c r="D85" i="188" s="1"/>
  <c r="G85" i="187"/>
  <c r="F86" i="187"/>
  <c r="D86" i="187" s="1"/>
  <c r="G85" i="188" l="1"/>
  <c r="F86" i="188"/>
  <c r="D86" i="188" s="1"/>
  <c r="G86" i="187"/>
  <c r="F87" i="187"/>
  <c r="D87" i="187" s="1"/>
  <c r="G86" i="188" l="1"/>
  <c r="F87" i="188"/>
  <c r="D87" i="188" s="1"/>
  <c r="G87" i="187"/>
  <c r="F88" i="187"/>
  <c r="D88" i="187" s="1"/>
  <c r="G87" i="188" l="1"/>
  <c r="F88" i="188"/>
  <c r="D88" i="188" s="1"/>
  <c r="G88" i="187"/>
  <c r="F89" i="187"/>
  <c r="D89" i="187" s="1"/>
  <c r="G88" i="188" l="1"/>
  <c r="F89" i="188"/>
  <c r="D89" i="188" s="1"/>
  <c r="G89" i="187"/>
  <c r="D90" i="187"/>
  <c r="F90" i="187"/>
  <c r="F91" i="187" s="1"/>
  <c r="G89" i="188" l="1"/>
  <c r="F90" i="188"/>
  <c r="F91" i="188" s="1"/>
  <c r="D90" i="188"/>
  <c r="G90" i="187"/>
  <c r="D91" i="187"/>
  <c r="G90" i="188" l="1"/>
  <c r="D91" i="188"/>
  <c r="F26" i="187"/>
  <c r="G91" i="187"/>
  <c r="F22" i="187" s="1"/>
  <c r="F24" i="187" s="1"/>
  <c r="F26" i="188" l="1"/>
  <c r="G91" i="188"/>
  <c r="F22" i="188" s="1"/>
  <c r="F24" i="188" s="1"/>
  <c r="C30" i="186" l="1"/>
  <c r="C31" i="186" s="1"/>
  <c r="C32" i="186" s="1"/>
  <c r="C33" i="186" s="1"/>
  <c r="C34" i="186" s="1"/>
  <c r="C35" i="186" s="1"/>
  <c r="C36" i="186" s="1"/>
  <c r="C37" i="186" s="1"/>
  <c r="C38" i="186" s="1"/>
  <c r="C39" i="186" s="1"/>
  <c r="C40" i="186" s="1"/>
  <c r="C41" i="186" s="1"/>
  <c r="C42" i="186" s="1"/>
  <c r="C43" i="186" s="1"/>
  <c r="C44" i="186" s="1"/>
  <c r="C45" i="186" s="1"/>
  <c r="C46" i="186" s="1"/>
  <c r="C47" i="186" s="1"/>
  <c r="C48" i="186" s="1"/>
  <c r="C49" i="186" s="1"/>
  <c r="C50" i="186" s="1"/>
  <c r="C51" i="186" s="1"/>
  <c r="C52" i="186" s="1"/>
  <c r="C53" i="186" s="1"/>
  <c r="C54" i="186" s="1"/>
  <c r="C55" i="186" s="1"/>
  <c r="C56" i="186" s="1"/>
  <c r="C57" i="186" s="1"/>
  <c r="C58" i="186" s="1"/>
  <c r="C59" i="186" s="1"/>
  <c r="C60" i="186" s="1"/>
  <c r="C61" i="186" s="1"/>
  <c r="C62" i="186" s="1"/>
  <c r="C63" i="186" s="1"/>
  <c r="C64" i="186" s="1"/>
  <c r="C65" i="186" s="1"/>
  <c r="C66" i="186" s="1"/>
  <c r="C67" i="186" s="1"/>
  <c r="C68" i="186" s="1"/>
  <c r="C69" i="186" s="1"/>
  <c r="C70" i="186" s="1"/>
  <c r="C71" i="186" s="1"/>
  <c r="C72" i="186" s="1"/>
  <c r="C73" i="186" s="1"/>
  <c r="C74" i="186" s="1"/>
  <c r="C75" i="186" s="1"/>
  <c r="C76" i="186" s="1"/>
  <c r="C77" i="186" s="1"/>
  <c r="C78" i="186" s="1"/>
  <c r="C79" i="186" s="1"/>
  <c r="C80" i="186" s="1"/>
  <c r="C81" i="186" s="1"/>
  <c r="C82" i="186" s="1"/>
  <c r="C83" i="186" s="1"/>
  <c r="C84" i="186" s="1"/>
  <c r="C85" i="186" s="1"/>
  <c r="C86" i="186" s="1"/>
  <c r="C87" i="186" s="1"/>
  <c r="C88" i="186" s="1"/>
  <c r="C89" i="186" s="1"/>
  <c r="C90" i="186" s="1"/>
  <c r="G29" i="186"/>
  <c r="F29" i="186"/>
  <c r="E29" i="186"/>
  <c r="D29" i="186"/>
  <c r="C29" i="186"/>
  <c r="B28" i="186"/>
  <c r="B26" i="186"/>
  <c r="E24" i="186"/>
  <c r="D24" i="186"/>
  <c r="C24" i="186"/>
  <c r="B24" i="186"/>
  <c r="E22" i="186"/>
  <c r="D22" i="186"/>
  <c r="C22" i="186"/>
  <c r="B22" i="186"/>
  <c r="E20" i="186"/>
  <c r="D20" i="186"/>
  <c r="C20" i="186"/>
  <c r="B20" i="186"/>
  <c r="F17" i="186"/>
  <c r="E17" i="186"/>
  <c r="D17" i="186"/>
  <c r="C17" i="186"/>
  <c r="B17" i="186"/>
  <c r="F15" i="186"/>
  <c r="E15" i="186"/>
  <c r="D15" i="186"/>
  <c r="C15" i="186"/>
  <c r="B15" i="186"/>
  <c r="F13" i="186"/>
  <c r="E18" i="186" s="1"/>
  <c r="F9" i="186" s="1"/>
  <c r="E13" i="186"/>
  <c r="D13" i="186"/>
  <c r="C13" i="186"/>
  <c r="B13" i="186"/>
  <c r="F11" i="186"/>
  <c r="E11" i="186"/>
  <c r="D11" i="186"/>
  <c r="C11" i="186"/>
  <c r="B11" i="186"/>
  <c r="G3" i="186"/>
  <c r="G2" i="186"/>
  <c r="F2" i="186"/>
  <c r="E2" i="186"/>
  <c r="E3" i="186" l="1"/>
  <c r="E19" i="186" l="1"/>
  <c r="E34" i="186" s="1"/>
  <c r="G30" i="186"/>
  <c r="F3" i="186"/>
  <c r="E90" i="186"/>
  <c r="E50" i="186"/>
  <c r="E74" i="186"/>
  <c r="E80" i="186"/>
  <c r="E75" i="186"/>
  <c r="E77" i="186"/>
  <c r="E86" i="186"/>
  <c r="E78" i="186"/>
  <c r="E70" i="186"/>
  <c r="E88" i="186"/>
  <c r="E72" i="186"/>
  <c r="E83" i="186"/>
  <c r="E67" i="186"/>
  <c r="E85" i="186"/>
  <c r="E69" i="186"/>
  <c r="E84" i="186"/>
  <c r="E76" i="186"/>
  <c r="E68" i="186"/>
  <c r="E87" i="186"/>
  <c r="E79" i="186"/>
  <c r="E71" i="186"/>
  <c r="E89" i="186"/>
  <c r="E81" i="186"/>
  <c r="E73" i="186"/>
  <c r="E40" i="186"/>
  <c r="E65" i="186" l="1"/>
  <c r="E39" i="186"/>
  <c r="E53" i="186"/>
  <c r="E62" i="186"/>
  <c r="E33" i="186"/>
  <c r="E64" i="186"/>
  <c r="E47" i="186"/>
  <c r="E56" i="186"/>
  <c r="E41" i="186"/>
  <c r="E32" i="186"/>
  <c r="E60" i="186"/>
  <c r="E36" i="186"/>
  <c r="E35" i="186"/>
  <c r="E51" i="186"/>
  <c r="E43" i="186"/>
  <c r="E49" i="186"/>
  <c r="E55" i="186"/>
  <c r="E44" i="186"/>
  <c r="E59" i="186"/>
  <c r="E46" i="186"/>
  <c r="E66" i="186"/>
  <c r="E57" i="186"/>
  <c r="E63" i="186"/>
  <c r="E52" i="186"/>
  <c r="E54" i="186"/>
  <c r="E61" i="186"/>
  <c r="E31" i="186"/>
  <c r="E42" i="186"/>
  <c r="E48" i="186"/>
  <c r="E45" i="186"/>
  <c r="F20" i="186"/>
  <c r="F31" i="186"/>
  <c r="E82" i="186"/>
  <c r="E38" i="186"/>
  <c r="E37" i="186"/>
  <c r="E58" i="186"/>
  <c r="D31" i="186" l="1"/>
  <c r="G31" i="186" s="1"/>
  <c r="E91" i="186"/>
  <c r="F32" i="186" l="1"/>
  <c r="D32" i="186" s="1"/>
  <c r="G32" i="186" l="1"/>
  <c r="F33" i="186"/>
  <c r="D33" i="186" l="1"/>
  <c r="G33" i="186" l="1"/>
  <c r="F34" i="186"/>
  <c r="D34" i="186" l="1"/>
  <c r="G34" i="186" l="1"/>
  <c r="F35" i="186"/>
  <c r="D35" i="186" s="1"/>
  <c r="G35" i="186" s="1"/>
  <c r="F36" i="186" l="1"/>
  <c r="D36" i="186" s="1"/>
  <c r="G36" i="186" s="1"/>
  <c r="F37" i="186" l="1"/>
  <c r="D37" i="186" s="1"/>
  <c r="G37" i="186" s="1"/>
  <c r="F38" i="186" l="1"/>
  <c r="D38" i="186" s="1"/>
  <c r="G38" i="186" s="1"/>
  <c r="F39" i="186" l="1"/>
  <c r="D39" i="186" s="1"/>
  <c r="G39" i="186" s="1"/>
  <c r="F40" i="186" l="1"/>
  <c r="D40" i="186" s="1"/>
  <c r="G40" i="186" s="1"/>
  <c r="F41" i="186" l="1"/>
  <c r="D41" i="186" s="1"/>
  <c r="G41" i="186" s="1"/>
  <c r="F42" i="186" l="1"/>
  <c r="D42" i="186" s="1"/>
  <c r="G42" i="186" s="1"/>
  <c r="F43" i="186" l="1"/>
  <c r="D43" i="186" s="1"/>
  <c r="G43" i="186" s="1"/>
  <c r="F44" i="186" l="1"/>
  <c r="D44" i="186" s="1"/>
  <c r="G44" i="186" s="1"/>
  <c r="F45" i="186" l="1"/>
  <c r="D45" i="186" s="1"/>
  <c r="G45" i="186" s="1"/>
  <c r="F46" i="186" l="1"/>
  <c r="D46" i="186" s="1"/>
  <c r="G46" i="186" s="1"/>
  <c r="F47" i="186" l="1"/>
  <c r="D47" i="186" s="1"/>
  <c r="G47" i="186" s="1"/>
  <c r="F48" i="186" l="1"/>
  <c r="D48" i="186" s="1"/>
  <c r="G48" i="186" s="1"/>
  <c r="F49" i="186" l="1"/>
  <c r="D49" i="186" s="1"/>
  <c r="G49" i="186" s="1"/>
  <c r="F50" i="186" l="1"/>
  <c r="D50" i="186" s="1"/>
  <c r="G50" i="186" s="1"/>
  <c r="F51" i="186" l="1"/>
  <c r="D51" i="186" s="1"/>
  <c r="G51" i="186" s="1"/>
  <c r="F52" i="186" l="1"/>
  <c r="D52" i="186" s="1"/>
  <c r="G52" i="186" s="1"/>
  <c r="F53" i="186" l="1"/>
  <c r="D53" i="186" s="1"/>
  <c r="G53" i="186" s="1"/>
  <c r="F54" i="186" l="1"/>
  <c r="D54" i="186" s="1"/>
  <c r="G54" i="186" s="1"/>
  <c r="F55" i="186" l="1"/>
  <c r="D55" i="186" s="1"/>
  <c r="G55" i="186" s="1"/>
  <c r="F56" i="186" l="1"/>
  <c r="D56" i="186" s="1"/>
  <c r="G56" i="186" s="1"/>
  <c r="F57" i="186" l="1"/>
  <c r="D57" i="186" s="1"/>
  <c r="G57" i="186" s="1"/>
  <c r="F58" i="186" l="1"/>
  <c r="D58" i="186" s="1"/>
  <c r="G58" i="186" s="1"/>
  <c r="F59" i="186" l="1"/>
  <c r="D59" i="186" s="1"/>
  <c r="G59" i="186" s="1"/>
  <c r="F60" i="186" l="1"/>
  <c r="D60" i="186" s="1"/>
  <c r="F61" i="186" s="1"/>
  <c r="D61" i="186" s="1"/>
  <c r="G60" i="186" l="1"/>
  <c r="G61" i="186"/>
  <c r="F62" i="186"/>
  <c r="D62" i="186" s="1"/>
  <c r="G62" i="186" l="1"/>
  <c r="F63" i="186"/>
  <c r="D63" i="186" s="1"/>
  <c r="G63" i="186" l="1"/>
  <c r="F64" i="186"/>
  <c r="D64" i="186" s="1"/>
  <c r="G64" i="186" l="1"/>
  <c r="F65" i="186"/>
  <c r="D65" i="186" s="1"/>
  <c r="G65" i="186" l="1"/>
  <c r="F66" i="186"/>
  <c r="D66" i="186" s="1"/>
  <c r="G66" i="186" l="1"/>
  <c r="F67" i="186"/>
  <c r="D67" i="186" s="1"/>
  <c r="G67" i="186" l="1"/>
  <c r="F68" i="186"/>
  <c r="D68" i="186" s="1"/>
  <c r="G68" i="186" l="1"/>
  <c r="F69" i="186"/>
  <c r="D69" i="186" s="1"/>
  <c r="G69" i="186" l="1"/>
  <c r="F70" i="186"/>
  <c r="D70" i="186" s="1"/>
  <c r="G70" i="186" l="1"/>
  <c r="F71" i="186"/>
  <c r="D71" i="186" s="1"/>
  <c r="G71" i="186" l="1"/>
  <c r="F72" i="186"/>
  <c r="D72" i="186" s="1"/>
  <c r="G72" i="186" l="1"/>
  <c r="F73" i="186"/>
  <c r="D73" i="186" s="1"/>
  <c r="G73" i="186" l="1"/>
  <c r="F74" i="186"/>
  <c r="D74" i="186" s="1"/>
  <c r="G74" i="186" l="1"/>
  <c r="F75" i="186"/>
  <c r="D75" i="186" s="1"/>
  <c r="G75" i="186" l="1"/>
  <c r="F76" i="186"/>
  <c r="D76" i="186" s="1"/>
  <c r="G76" i="186" l="1"/>
  <c r="F77" i="186"/>
  <c r="D77" i="186" s="1"/>
  <c r="G77" i="186" l="1"/>
  <c r="F78" i="186"/>
  <c r="D78" i="186" s="1"/>
  <c r="G78" i="186" l="1"/>
  <c r="F79" i="186"/>
  <c r="D79" i="186" s="1"/>
  <c r="G79" i="186" l="1"/>
  <c r="F80" i="186"/>
  <c r="D80" i="186" s="1"/>
  <c r="G80" i="186" l="1"/>
  <c r="F81" i="186"/>
  <c r="D81" i="186" s="1"/>
  <c r="G81" i="186" l="1"/>
  <c r="F82" i="186"/>
  <c r="D82" i="186" s="1"/>
  <c r="G82" i="186" l="1"/>
  <c r="F83" i="186"/>
  <c r="D83" i="186" s="1"/>
  <c r="G83" i="186" l="1"/>
  <c r="F84" i="186"/>
  <c r="D84" i="186" s="1"/>
  <c r="G84" i="186" l="1"/>
  <c r="F85" i="186"/>
  <c r="D85" i="186" s="1"/>
  <c r="G85" i="186" l="1"/>
  <c r="F86" i="186"/>
  <c r="D86" i="186" s="1"/>
  <c r="G86" i="186" l="1"/>
  <c r="F87" i="186"/>
  <c r="D87" i="186" s="1"/>
  <c r="G87" i="186" l="1"/>
  <c r="F88" i="186"/>
  <c r="D88" i="186" s="1"/>
  <c r="G88" i="186" l="1"/>
  <c r="F89" i="186"/>
  <c r="D89" i="186" s="1"/>
  <c r="G89" i="186" l="1"/>
  <c r="D90" i="186"/>
  <c r="F90" i="186"/>
  <c r="F91" i="186" s="1"/>
  <c r="G90" i="186" l="1"/>
  <c r="D91" i="186"/>
  <c r="F26" i="186" l="1"/>
  <c r="G91" i="186"/>
  <c r="F22" i="186" s="1"/>
  <c r="F24" i="186" s="1"/>
  <c r="H5" i="165" l="1"/>
  <c r="K5" i="165" s="1"/>
  <c r="H6" i="165"/>
  <c r="K6" i="165" s="1"/>
  <c r="H7" i="165"/>
  <c r="K7" i="165" s="1"/>
  <c r="H8" i="165"/>
  <c r="K8" i="165" s="1"/>
  <c r="H9" i="165"/>
  <c r="K9" i="165" s="1"/>
  <c r="H4" i="165"/>
  <c r="K4" i="165" s="1"/>
  <c r="G4" i="165" l="1"/>
  <c r="G5" i="165"/>
  <c r="G6" i="165"/>
  <c r="G7" i="165"/>
  <c r="G8" i="165"/>
  <c r="G9" i="165"/>
  <c r="H3" i="186" s="1"/>
  <c r="C21" i="161" l="1"/>
  <c r="H21" i="161" s="1"/>
  <c r="D21" i="161"/>
  <c r="F21" i="161" s="1"/>
  <c r="E21" i="161"/>
  <c r="C22" i="161"/>
  <c r="H22" i="161" s="1"/>
  <c r="D22" i="161"/>
  <c r="F22" i="161" s="1"/>
  <c r="E22" i="161"/>
  <c r="C23" i="161"/>
  <c r="H23" i="161" s="1"/>
  <c r="D23" i="161"/>
  <c r="E23" i="161"/>
  <c r="F23" i="161"/>
  <c r="G23" i="161"/>
  <c r="C24" i="161"/>
  <c r="H24" i="161" s="1"/>
  <c r="D24" i="161"/>
  <c r="G24" i="161" s="1"/>
  <c r="E24" i="161"/>
  <c r="F24" i="161"/>
  <c r="G22" i="161" l="1"/>
  <c r="G21" i="161"/>
</calcChain>
</file>

<file path=xl/sharedStrings.xml><?xml version="1.0" encoding="utf-8"?>
<sst xmlns="http://schemas.openxmlformats.org/spreadsheetml/2006/main" count="91" uniqueCount="63">
  <si>
    <t>Щомісячний платіж</t>
  </si>
  <si>
    <t>Всього</t>
  </si>
  <si>
    <t>Місяць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</si>
  <si>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</si>
  <si>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</si>
  <si>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</si>
  <si>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</si>
  <si>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</si>
  <si>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</si>
  <si>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</si>
  <si>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</si>
  <si>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</si>
  <si>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Код</t>
  </si>
  <si>
    <t>Cash out,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</si>
  <si>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</si>
  <si>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</si>
  <si>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</si>
  <si>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</si>
  <si>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</si>
  <si>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</si>
  <si>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</si>
  <si>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</si>
  <si>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</si>
  <si>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</si>
  <si>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</si>
  <si>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</si>
  <si>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>к-ть днів у місяці</t>
  </si>
  <si>
    <t>Початкова комісія</t>
  </si>
  <si>
    <t>Крок</t>
  </si>
  <si>
    <t>Разовий страховий тариф, %</t>
  </si>
  <si>
    <t>Процентна ставка, % річних</t>
  </si>
  <si>
    <t xml:space="preserve">Щомісячна плата за обслуговування кредитної заборгованості, % </t>
  </si>
  <si>
    <t>Розмір щомісячної плати за обслуговування кредитної заборгованості, грн.</t>
  </si>
  <si>
    <t>Проценти за користування кредитом, грн.</t>
  </si>
  <si>
    <t>Погашення суми кредиту, грн.</t>
  </si>
  <si>
    <t>Сума платежу за розрахунковий період, грн.</t>
  </si>
  <si>
    <t>Орієнтовний порядок повернення кредиту</t>
  </si>
  <si>
    <t>Орієнтовна реальна річна процентна ставка, %</t>
  </si>
  <si>
    <t>Орієнтовні загальні витрати за кредитом, грн.</t>
  </si>
  <si>
    <t>№ з/п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</si>
  <si>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термін кредиту</t>
    </r>
  </si>
  <si>
    <t>Сума кредиту з врахуванням страхівки, грн.</t>
  </si>
  <si>
    <r>
      <rPr>
        <b/>
        <sz val="11"/>
        <color rgb="FFFF0000"/>
        <rFont val="Arial Cyr"/>
        <charset val="204"/>
      </rPr>
      <t>!!!</t>
    </r>
    <r>
      <rPr>
        <b/>
        <sz val="11"/>
        <rFont val="Arial Cyr"/>
        <family val="2"/>
        <charset val="204"/>
      </rPr>
      <t>Введіть бажану суму рефінансування</t>
    </r>
  </si>
  <si>
    <r>
      <rPr>
        <b/>
        <sz val="11"/>
        <color rgb="FFFF0000"/>
        <rFont val="Arial Cyr"/>
        <charset val="204"/>
      </rPr>
      <t>!!!</t>
    </r>
    <r>
      <rPr>
        <b/>
        <sz val="11"/>
        <rFont val="Arial Cyr"/>
        <family val="2"/>
        <charset val="204"/>
      </rPr>
      <t>Введіть бажану суму додаткових коштів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</si>
  <si>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</si>
  <si>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</si>
  <si>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</si>
  <si>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Зустрічна пропозиція до 200, 60 міс.</t>
  </si>
  <si>
    <t>Зустрічна пропозиція до 200, 48 міс.</t>
  </si>
  <si>
    <t>Зустрічна пропозиція до 200, 36 міс.</t>
  </si>
  <si>
    <t>Зустрічна пропозиція до 200, 24 міс.</t>
  </si>
  <si>
    <t>Зустрічна пропозиція до 200, 18 міс.</t>
  </si>
  <si>
    <t>Зустрічна пропозиція до 200, 12 міс.</t>
  </si>
  <si>
    <t>Зустрічна пропозиція 200-500, 36 міс.</t>
  </si>
  <si>
    <t>Зустрічна пропозиція 200-500, 24 міс.</t>
  </si>
  <si>
    <t>Зустрічна пропозиція 200-500, 18 міс.</t>
  </si>
  <si>
    <t>Зустрічна пропозиція 200-500, 12 міс.</t>
  </si>
  <si>
    <t>Зустрічна пропозиція+відділення, 60 міс.</t>
  </si>
  <si>
    <t>Зустрічна пропозиція+відділення, 48 міс.</t>
  </si>
  <si>
    <t>Зустрічна пропозиція+відділення, 36 міс.</t>
  </si>
  <si>
    <t>Зустрічна пропозиція+відділення, 24 міс.</t>
  </si>
  <si>
    <t>Зустрічна пропозиція+відділення, 18 міс.</t>
  </si>
  <si>
    <t>Зустрічна пропозиція+відділення, 12 міс.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</si>
</sst>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\ _ _-;\-* #,##0.00\ _ _-;_-* &quot;-&quot;??\ _ _-;_-@_-"/>
    <numFmt numFmtId="165" formatCode="#&quot; &quot;##0"/>
    <numFmt numFmtId="166" formatCode="0.0%"/>
    <numFmt numFmtId="167" formatCode="#&quot; &quot;##0.0"/>
    <numFmt numFmtId="168" formatCode="#&quot; &quot;##0.00"/>
    <numFmt numFmtId="169" formatCode="#&quot; &quot;##0.00\ [$грн.-422]"/>
    <numFmt numFmtId="170" formatCode="#&quot; &quot;##0.0\ [$грн.-422]"/>
    <numFmt numFmtId="171" formatCode="0.0"/>
    <numFmt numFmtId="172" formatCode="_-* #&quot; &quot;##0.0\ _ _-;\-* #&quot; &quot;##0.0\ _ _-;_-* &quot;-&quot;??\ _ _-;_-@_-"/>
    <numFmt numFmtId="173" formatCode="#&quot; &quot;##0_ ;\-#&quot; &quot;##0\ "/>
    <numFmt numFmtId="174" formatCode="0.0000%"/>
    <numFmt numFmtId="175" formatCode="0.000000%"/>
    <numFmt numFmtId="176" formatCode="#,##0.00&quot;₴&quot;"/>
    <numFmt numFmtId="177" formatCode="_-* #,##0.00&quot; &quot;_-;\-* #,##0.00&quot; &quot;_-;_-* &quot;-&quot;??&quot; &quot;_-;_-@_-"/>
    <numFmt numFmtId="178" formatCode="####&quot; &quot;##0.0"/>
    <numFmt numFmtId="180" formatCode="_-* #,##0\ _ _-;\-* #,##0\ _ _-;_-* &quot;-&quot;??\ _ _-;_-@_-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7.5"/>
      <name val="Arial"/>
      <family val="2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sz val="10"/>
      <color indexed="55"/>
      <name val="Arial"/>
      <family val="2"/>
      <charset val="204"/>
    </font>
    <font>
      <b/>
      <sz val="8"/>
      <name val="Arial Cyr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u/>
      <sz val="11"/>
      <color rgb="FFFF0000"/>
      <name val="Arial Narrow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b/>
      <u/>
      <sz val="9"/>
      <name val="Arial"/>
      <family val="2"/>
      <charset val="204"/>
    </font>
    <font>
      <b/>
      <sz val="11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rgb="FFFF0000"/>
      <name val="Arial Cyr"/>
      <charset val="204"/>
    </font>
    <font>
      <b/>
      <sz val="11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rgb="FFFF0000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" fillId="0" borderId="0"/>
  </cellStyleXfs>
  <cellXfs count="229">
    <xf numFmtId="0" fontId="0" fillId="0" borderId="0" xfId="0"/>
    <xf numFmtId="0" fontId="8" fillId="3" borderId="0" xfId="23" applyFont="1" applyFill="1" applyProtection="1"/>
    <xf numFmtId="0" fontId="4" fillId="3" borderId="0" xfId="23" applyFill="1" applyProtection="1"/>
    <xf numFmtId="0" fontId="0" fillId="3" borderId="0" xfId="0" applyFill="1" applyProtection="1"/>
    <xf numFmtId="0" fontId="4" fillId="0" borderId="0" xfId="23" applyProtection="1"/>
    <xf numFmtId="0" fontId="4" fillId="0" borderId="0" xfId="23" applyFill="1" applyProtection="1"/>
    <xf numFmtId="0" fontId="8" fillId="3" borderId="0" xfId="23" applyFont="1" applyFill="1" applyBorder="1" applyProtection="1"/>
    <xf numFmtId="0" fontId="7" fillId="3" borderId="0" xfId="0" applyFont="1" applyFill="1" applyBorder="1" applyAlignment="1" applyProtection="1"/>
    <xf numFmtId="1" fontId="4" fillId="3" borderId="0" xfId="23" applyNumberFormat="1" applyFill="1" applyAlignment="1" applyProtection="1">
      <alignment vertical="top" wrapText="1"/>
    </xf>
    <xf numFmtId="0" fontId="4" fillId="0" borderId="0" xfId="23" applyFont="1" applyFill="1" applyProtection="1"/>
    <xf numFmtId="10" fontId="3" fillId="0" borderId="1" xfId="23" applyNumberFormat="1" applyFont="1" applyFill="1" applyBorder="1" applyAlignment="1" applyProtection="1">
      <alignment horizontal="center"/>
    </xf>
    <xf numFmtId="10" fontId="16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Alignment="1" applyProtection="1">
      <alignment horizontal="center"/>
    </xf>
    <xf numFmtId="0" fontId="10" fillId="3" borderId="0" xfId="0" applyFont="1" applyFill="1" applyBorder="1" applyAlignment="1" applyProtection="1"/>
    <xf numFmtId="0" fontId="17" fillId="3" borderId="0" xfId="23" applyFont="1" applyFill="1" applyAlignment="1" applyProtection="1">
      <alignment horizontal="center"/>
    </xf>
    <xf numFmtId="0" fontId="8" fillId="0" borderId="0" xfId="23" applyFont="1" applyFill="1" applyProtection="1"/>
    <xf numFmtId="0" fontId="17" fillId="3" borderId="0" xfId="23" applyFont="1" applyFill="1" applyBorder="1" applyAlignment="1" applyProtection="1">
      <alignment horizontal="center"/>
    </xf>
    <xf numFmtId="169" fontId="3" fillId="0" borderId="1" xfId="23" applyNumberFormat="1" applyFont="1" applyFill="1" applyBorder="1" applyAlignment="1" applyProtection="1">
      <alignment horizontal="center"/>
    </xf>
    <xf numFmtId="169" fontId="16" fillId="0" borderId="1" xfId="23" applyNumberFormat="1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left"/>
    </xf>
    <xf numFmtId="169" fontId="3" fillId="3" borderId="0" xfId="23" applyNumberFormat="1" applyFont="1" applyFill="1" applyBorder="1" applyAlignment="1" applyProtection="1">
      <alignment horizontal="center"/>
    </xf>
    <xf numFmtId="0" fontId="19" fillId="3" borderId="0" xfId="23" applyFont="1" applyFill="1" applyProtection="1"/>
    <xf numFmtId="0" fontId="18" fillId="3" borderId="0" xfId="23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left"/>
    </xf>
    <xf numFmtId="169" fontId="3" fillId="3" borderId="2" xfId="23" applyNumberFormat="1" applyFont="1" applyFill="1" applyBorder="1" applyProtection="1"/>
    <xf numFmtId="166" fontId="3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Border="1" applyAlignment="1" applyProtection="1">
      <alignment horizontal="center"/>
    </xf>
    <xf numFmtId="170" fontId="20" fillId="0" borderId="1" xfId="23" applyNumberFormat="1" applyFont="1" applyFill="1" applyBorder="1" applyAlignment="1" applyProtection="1">
      <alignment horizontal="center"/>
    </xf>
    <xf numFmtId="169" fontId="20" fillId="0" borderId="1" xfId="23" applyNumberFormat="1" applyFont="1" applyFill="1" applyBorder="1" applyAlignment="1" applyProtection="1">
      <alignment horizontal="center"/>
    </xf>
    <xf numFmtId="0" fontId="4" fillId="3" borderId="0" xfId="23" applyFont="1" applyFill="1" applyProtection="1"/>
    <xf numFmtId="0" fontId="11" fillId="3" borderId="0" xfId="0" applyFont="1" applyFill="1" applyBorder="1" applyAlignment="1" applyProtection="1"/>
    <xf numFmtId="165" fontId="12" fillId="3" borderId="0" xfId="23" applyNumberFormat="1" applyFont="1" applyFill="1" applyProtection="1"/>
    <xf numFmtId="0" fontId="12" fillId="3" borderId="0" xfId="23" applyFont="1" applyFill="1" applyBorder="1" applyProtection="1"/>
    <xf numFmtId="0" fontId="6" fillId="3" borderId="0" xfId="23" applyFont="1" applyFill="1" applyAlignment="1" applyProtection="1">
      <alignment horizontal="right"/>
    </xf>
    <xf numFmtId="10" fontId="6" fillId="3" borderId="0" xfId="23" applyNumberFormat="1" applyFont="1" applyFill="1" applyProtection="1"/>
    <xf numFmtId="0" fontId="3" fillId="3" borderId="0" xfId="23" applyFont="1" applyFill="1" applyAlignment="1" applyProtection="1">
      <alignment horizontal="right"/>
    </xf>
    <xf numFmtId="9" fontId="3" fillId="3" borderId="0" xfId="23" applyNumberFormat="1" applyFont="1" applyFill="1" applyAlignment="1" applyProtection="1">
      <alignment horizontal="left"/>
    </xf>
    <xf numFmtId="9" fontId="4" fillId="3" borderId="0" xfId="23" applyNumberFormat="1" applyFill="1" applyAlignment="1" applyProtection="1">
      <alignment horizontal="left"/>
    </xf>
    <xf numFmtId="0" fontId="0" fillId="0" borderId="0" xfId="0" applyProtection="1"/>
    <xf numFmtId="10" fontId="3" fillId="3" borderId="1" xfId="23" applyNumberFormat="1" applyFont="1" applyFill="1" applyBorder="1" applyAlignment="1" applyProtection="1">
      <alignment horizontal="center"/>
    </xf>
    <xf numFmtId="0" fontId="0" fillId="0" borderId="0" xfId="0" applyFill="1"/>
    <xf numFmtId="9" fontId="3" fillId="0" borderId="0" xfId="23" applyNumberFormat="1" applyFont="1" applyFill="1" applyAlignment="1" applyProtection="1">
      <alignment horizontal="left"/>
    </xf>
    <xf numFmtId="9" fontId="4" fillId="0" borderId="0" xfId="23" applyNumberFormat="1" applyFill="1" applyAlignment="1" applyProtection="1">
      <alignment horizontal="left"/>
    </xf>
    <xf numFmtId="0" fontId="4" fillId="0" borderId="0" xfId="23" applyFont="1" applyProtection="1"/>
    <xf numFmtId="0" fontId="16" fillId="3" borderId="0" xfId="23" applyFont="1" applyFill="1" applyBorder="1" applyAlignment="1" applyProtection="1">
      <alignment horizontal="center"/>
    </xf>
    <xf numFmtId="0" fontId="3" fillId="3" borderId="0" xfId="23" applyFont="1" applyFill="1" applyProtection="1"/>
    <xf numFmtId="0" fontId="16" fillId="3" borderId="0" xfId="23" applyFont="1" applyFill="1" applyAlignment="1" applyProtection="1">
      <alignment horizontal="center"/>
    </xf>
    <xf numFmtId="10" fontId="3" fillId="3" borderId="0" xfId="46" applyNumberFormat="1" applyFont="1" applyFill="1" applyAlignment="1" applyProtection="1">
      <alignment horizontal="center" vertical="top" wrapText="1"/>
    </xf>
    <xf numFmtId="169" fontId="4" fillId="0" borderId="3" xfId="23" applyNumberFormat="1" applyFont="1" applyFill="1" applyBorder="1" applyAlignment="1" applyProtection="1">
      <alignment horizontal="center"/>
    </xf>
    <xf numFmtId="169" fontId="4" fillId="0" borderId="4" xfId="23" applyNumberFormat="1" applyFont="1" applyFill="1" applyBorder="1" applyAlignment="1" applyProtection="1">
      <alignment horizontal="center"/>
    </xf>
    <xf numFmtId="9" fontId="16" fillId="3" borderId="0" xfId="23" applyNumberFormat="1" applyFont="1" applyFill="1" applyAlignment="1" applyProtection="1">
      <alignment horizontal="center"/>
    </xf>
    <xf numFmtId="0" fontId="16" fillId="0" borderId="0" xfId="23" applyFont="1" applyAlignment="1" applyProtection="1">
      <alignment horizontal="center"/>
    </xf>
    <xf numFmtId="0" fontId="22" fillId="3" borderId="0" xfId="0" applyFont="1" applyFill="1" applyProtection="1"/>
    <xf numFmtId="0" fontId="23" fillId="3" borderId="0" xfId="0" applyFont="1" applyFill="1" applyProtection="1"/>
    <xf numFmtId="0" fontId="24" fillId="0" borderId="0" xfId="23" applyFont="1" applyFill="1" applyProtection="1"/>
    <xf numFmtId="0" fontId="24" fillId="3" borderId="0" xfId="23" applyFont="1" applyFill="1" applyProtection="1"/>
    <xf numFmtId="0" fontId="26" fillId="0" borderId="0" xfId="23" applyFont="1" applyFill="1" applyProtection="1"/>
    <xf numFmtId="0" fontId="7" fillId="0" borderId="0" xfId="0" applyFont="1" applyFill="1" applyBorder="1" applyAlignment="1" applyProtection="1">
      <alignment horizontal="left"/>
    </xf>
    <xf numFmtId="0" fontId="26" fillId="3" borderId="0" xfId="23" applyFont="1" applyFill="1" applyProtection="1"/>
    <xf numFmtId="0" fontId="8" fillId="4" borderId="0" xfId="23" applyFont="1" applyFill="1" applyProtection="1"/>
    <xf numFmtId="0" fontId="4" fillId="4" borderId="0" xfId="23" applyFill="1" applyProtection="1"/>
    <xf numFmtId="0" fontId="3" fillId="4" borderId="0" xfId="23" applyFont="1" applyFill="1" applyProtection="1"/>
    <xf numFmtId="0" fontId="0" fillId="4" borderId="0" xfId="0" applyFill="1" applyProtection="1"/>
    <xf numFmtId="173" fontId="3" fillId="3" borderId="1" xfId="47" applyNumberFormat="1" applyFont="1" applyFill="1" applyBorder="1" applyAlignment="1" applyProtection="1">
      <alignment horizontal="center"/>
    </xf>
    <xf numFmtId="0" fontId="20" fillId="0" borderId="0" xfId="23" applyFont="1" applyProtection="1"/>
    <xf numFmtId="166" fontId="4" fillId="0" borderId="3" xfId="24" applyNumberFormat="1" applyFont="1" applyFill="1" applyBorder="1" applyAlignment="1" applyProtection="1">
      <alignment horizontal="center"/>
    </xf>
    <xf numFmtId="166" fontId="4" fillId="0" borderId="4" xfId="24" applyNumberFormat="1" applyFont="1" applyFill="1" applyBorder="1" applyAlignment="1" applyProtection="1">
      <alignment horizontal="center"/>
    </xf>
    <xf numFmtId="171" fontId="28" fillId="3" borderId="0" xfId="23" applyNumberFormat="1" applyFont="1" applyFill="1" applyBorder="1" applyAlignment="1" applyProtection="1">
      <alignment horizontal="center" vertical="center"/>
    </xf>
    <xf numFmtId="171" fontId="3" fillId="0" borderId="1" xfId="23" applyNumberFormat="1" applyFont="1" applyFill="1" applyBorder="1" applyAlignment="1" applyProtection="1">
      <alignment horizontal="center"/>
    </xf>
    <xf numFmtId="171" fontId="16" fillId="0" borderId="1" xfId="23" applyNumberFormat="1" applyFont="1" applyFill="1" applyBorder="1" applyAlignment="1" applyProtection="1">
      <alignment horizontal="center"/>
    </xf>
    <xf numFmtId="1" fontId="15" fillId="0" borderId="6" xfId="23" applyNumberFormat="1" applyFont="1" applyFill="1" applyBorder="1" applyAlignment="1" applyProtection="1">
      <alignment horizontal="center" vertical="top" wrapText="1"/>
      <protection locked="0"/>
    </xf>
    <xf numFmtId="1" fontId="3" fillId="0" borderId="6" xfId="23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7" fillId="0" borderId="0" xfId="0" applyFont="1" applyFill="1" applyBorder="1" applyAlignment="1" applyProtection="1"/>
    <xf numFmtId="1" fontId="4" fillId="0" borderId="0" xfId="23" applyNumberFormat="1" applyFill="1" applyAlignment="1" applyProtection="1">
      <alignment vertical="top" wrapText="1"/>
    </xf>
    <xf numFmtId="0" fontId="3" fillId="0" borderId="0" xfId="23" applyFont="1" applyFill="1" applyProtection="1"/>
    <xf numFmtId="0" fontId="16" fillId="0" borderId="0" xfId="23" applyFont="1" applyFill="1" applyAlignment="1" applyProtection="1">
      <alignment horizontal="center"/>
    </xf>
    <xf numFmtId="0" fontId="7" fillId="0" borderId="2" xfId="0" applyFont="1" applyFill="1" applyBorder="1" applyAlignment="1" applyProtection="1">
      <alignment horizontal="left"/>
    </xf>
    <xf numFmtId="10" fontId="3" fillId="0" borderId="0" xfId="23" applyNumberFormat="1" applyFont="1" applyFill="1" applyAlignment="1" applyProtection="1">
      <alignment horizontal="center"/>
    </xf>
    <xf numFmtId="10" fontId="3" fillId="0" borderId="0" xfId="46" applyNumberFormat="1" applyFont="1" applyFill="1" applyAlignment="1" applyProtection="1">
      <alignment horizontal="center" vertical="top" wrapText="1"/>
    </xf>
    <xf numFmtId="173" fontId="3" fillId="0" borderId="1" xfId="47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" fontId="27" fillId="0" borderId="0" xfId="23" applyNumberFormat="1" applyFont="1" applyFill="1" applyAlignment="1" applyProtection="1">
      <alignment vertical="top" wrapText="1"/>
    </xf>
    <xf numFmtId="0" fontId="17" fillId="0" borderId="0" xfId="23" applyFont="1" applyFill="1" applyAlignment="1" applyProtection="1">
      <alignment horizontal="center"/>
    </xf>
    <xf numFmtId="165" fontId="27" fillId="0" borderId="0" xfId="23" applyNumberFormat="1" applyFont="1" applyFill="1" applyProtection="1"/>
    <xf numFmtId="0" fontId="17" fillId="0" borderId="0" xfId="23" applyFont="1" applyFill="1" applyBorder="1" applyAlignment="1" applyProtection="1">
      <alignment horizontal="center"/>
    </xf>
    <xf numFmtId="169" fontId="3" fillId="0" borderId="0" xfId="23" applyNumberFormat="1" applyFont="1" applyFill="1" applyBorder="1" applyAlignment="1" applyProtection="1">
      <alignment horizontal="center"/>
    </xf>
    <xf numFmtId="0" fontId="19" fillId="0" borderId="0" xfId="23" applyFont="1" applyFill="1" applyProtection="1"/>
    <xf numFmtId="0" fontId="18" fillId="0" borderId="0" xfId="23" applyFont="1" applyFill="1" applyBorder="1" applyAlignment="1" applyProtection="1">
      <alignment horizontal="center"/>
    </xf>
    <xf numFmtId="169" fontId="3" fillId="0" borderId="2" xfId="23" applyNumberFormat="1" applyFont="1" applyFill="1" applyBorder="1" applyProtection="1"/>
    <xf numFmtId="10" fontId="3" fillId="0" borderId="0" xfId="23" applyNumberFormat="1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10" fontId="16" fillId="0" borderId="1" xfId="23" applyNumberFormat="1" applyFont="1" applyFill="1" applyBorder="1" applyAlignment="1" applyProtection="1">
      <alignment horizontal="center" vertical="center" wrapText="1"/>
    </xf>
    <xf numFmtId="165" fontId="4" fillId="0" borderId="0" xfId="23" applyNumberFormat="1" applyFont="1" applyFill="1" applyProtection="1"/>
    <xf numFmtId="0" fontId="4" fillId="0" borderId="0" xfId="23" applyFont="1" applyFill="1" applyBorder="1" applyProtection="1"/>
    <xf numFmtId="0" fontId="16" fillId="0" borderId="0" xfId="23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165" fontId="12" fillId="0" borderId="0" xfId="23" applyNumberFormat="1" applyFont="1" applyFill="1" applyProtection="1"/>
    <xf numFmtId="0" fontId="12" fillId="0" borderId="0" xfId="23" applyFont="1" applyFill="1" applyBorder="1" applyProtection="1"/>
    <xf numFmtId="165" fontId="16" fillId="0" borderId="7" xfId="23" applyNumberFormat="1" applyFont="1" applyFill="1" applyBorder="1" applyAlignment="1" applyProtection="1">
      <alignment horizontal="center" vertical="center" wrapText="1"/>
    </xf>
    <xf numFmtId="0" fontId="6" fillId="0" borderId="0" xfId="23" applyFont="1" applyFill="1" applyAlignment="1" applyProtection="1">
      <alignment horizontal="right"/>
    </xf>
    <xf numFmtId="10" fontId="6" fillId="0" borderId="0" xfId="23" applyNumberFormat="1" applyFont="1" applyFill="1" applyProtection="1"/>
    <xf numFmtId="0" fontId="3" fillId="0" borderId="0" xfId="23" applyFont="1" applyFill="1" applyAlignment="1" applyProtection="1">
      <alignment horizontal="right"/>
    </xf>
    <xf numFmtId="9" fontId="16" fillId="0" borderId="0" xfId="23" applyNumberFormat="1" applyFont="1" applyFill="1" applyAlignment="1" applyProtection="1">
      <alignment horizontal="center"/>
    </xf>
    <xf numFmtId="0" fontId="29" fillId="4" borderId="0" xfId="23" applyFont="1" applyFill="1" applyAlignment="1" applyProtection="1">
      <alignment horizontal="center"/>
    </xf>
    <xf numFmtId="10" fontId="30" fillId="3" borderId="0" xfId="23" applyNumberFormat="1" applyFont="1" applyFill="1" applyAlignment="1" applyProtection="1">
      <alignment horizontal="center"/>
    </xf>
    <xf numFmtId="0" fontId="8" fillId="3" borderId="8" xfId="23" applyFont="1" applyFill="1" applyBorder="1" applyProtection="1"/>
    <xf numFmtId="0" fontId="4" fillId="3" borderId="9" xfId="23" applyFill="1" applyBorder="1" applyProtection="1"/>
    <xf numFmtId="4" fontId="4" fillId="3" borderId="10" xfId="23" applyNumberFormat="1" applyFill="1" applyBorder="1" applyProtection="1"/>
    <xf numFmtId="0" fontId="32" fillId="3" borderId="0" xfId="0" applyFont="1" applyFill="1" applyBorder="1" applyAlignment="1" applyProtection="1"/>
    <xf numFmtId="165" fontId="16" fillId="5" borderId="7" xfId="23" applyNumberFormat="1" applyFont="1" applyFill="1" applyBorder="1" applyAlignment="1" applyProtection="1">
      <alignment horizontal="center" vertical="center" wrapText="1"/>
    </xf>
    <xf numFmtId="0" fontId="33" fillId="3" borderId="0" xfId="23" applyFont="1" applyFill="1" applyProtection="1"/>
    <xf numFmtId="0" fontId="4" fillId="7" borderId="0" xfId="23" applyFill="1" applyProtection="1"/>
    <xf numFmtId="0" fontId="4" fillId="7" borderId="0" xfId="23" applyFont="1" applyFill="1" applyProtection="1"/>
    <xf numFmtId="0" fontId="8" fillId="7" borderId="0" xfId="23" applyFont="1" applyFill="1" applyProtection="1"/>
    <xf numFmtId="0" fontId="27" fillId="4" borderId="0" xfId="23" applyFont="1" applyFill="1" applyProtection="1"/>
    <xf numFmtId="0" fontId="4" fillId="4" borderId="0" xfId="23" applyFont="1" applyFill="1" applyProtection="1"/>
    <xf numFmtId="0" fontId="31" fillId="0" borderId="0" xfId="23" applyFont="1" applyFill="1" applyProtection="1"/>
    <xf numFmtId="0" fontId="4" fillId="0" borderId="24" xfId="23" applyBorder="1" applyAlignment="1" applyProtection="1">
      <alignment horizontal="center"/>
    </xf>
    <xf numFmtId="0" fontId="4" fillId="0" borderId="20" xfId="23" applyBorder="1" applyAlignment="1" applyProtection="1">
      <alignment horizontal="center"/>
    </xf>
    <xf numFmtId="0" fontId="35" fillId="3" borderId="0" xfId="0" applyFont="1" applyFill="1" applyBorder="1" applyAlignment="1" applyProtection="1"/>
    <xf numFmtId="14" fontId="4" fillId="0" borderId="1" xfId="23" applyNumberFormat="1" applyBorder="1" applyAlignment="1" applyProtection="1">
      <alignment horizontal="center"/>
    </xf>
    <xf numFmtId="176" fontId="8" fillId="3" borderId="0" xfId="23" applyNumberFormat="1" applyFont="1" applyFill="1" applyProtection="1"/>
    <xf numFmtId="0" fontId="36" fillId="4" borderId="0" xfId="0" applyFont="1" applyFill="1" applyProtection="1"/>
    <xf numFmtId="0" fontId="16" fillId="4" borderId="0" xfId="23" applyFont="1" applyFill="1" applyAlignment="1" applyProtection="1">
      <alignment horizontal="center"/>
    </xf>
    <xf numFmtId="14" fontId="4" fillId="0" borderId="14" xfId="23" applyNumberFormat="1" applyBorder="1" applyAlignment="1" applyProtection="1">
      <alignment horizontal="center"/>
    </xf>
    <xf numFmtId="0" fontId="31" fillId="4" borderId="0" xfId="23" applyFont="1" applyFill="1" applyProtection="1"/>
    <xf numFmtId="0" fontId="0" fillId="0" borderId="0" xfId="0" applyProtection="1">
      <protection hidden="1"/>
    </xf>
    <xf numFmtId="10" fontId="0" fillId="0" borderId="0" xfId="24" applyNumberFormat="1" applyFont="1" applyProtection="1">
      <protection hidden="1"/>
    </xf>
    <xf numFmtId="172" fontId="0" fillId="0" borderId="0" xfId="47" applyNumberFormat="1" applyFont="1" applyProtection="1">
      <protection hidden="1"/>
    </xf>
    <xf numFmtId="0" fontId="0" fillId="8" borderId="0" xfId="0" applyFill="1" applyProtection="1">
      <protection hidden="1"/>
    </xf>
    <xf numFmtId="1" fontId="27" fillId="4" borderId="0" xfId="23" applyNumberFormat="1" applyFont="1" applyFill="1" applyAlignment="1" applyProtection="1">
      <alignment vertical="top" wrapText="1"/>
    </xf>
    <xf numFmtId="165" fontId="27" fillId="4" borderId="0" xfId="23" applyNumberFormat="1" applyFont="1" applyFill="1" applyProtection="1"/>
    <xf numFmtId="14" fontId="37" fillId="3" borderId="0" xfId="23" applyNumberFormat="1" applyFont="1" applyFill="1" applyBorder="1" applyAlignment="1" applyProtection="1">
      <alignment horizontal="center"/>
    </xf>
    <xf numFmtId="0" fontId="0" fillId="9" borderId="1" xfId="0" applyFill="1" applyBorder="1" applyProtection="1">
      <protection hidden="1"/>
    </xf>
    <xf numFmtId="10" fontId="0" fillId="9" borderId="1" xfId="24" applyNumberFormat="1" applyFont="1" applyFill="1" applyBorder="1" applyProtection="1">
      <protection hidden="1"/>
    </xf>
    <xf numFmtId="4" fontId="2" fillId="9" borderId="1" xfId="2" applyNumberFormat="1" applyFont="1" applyFill="1" applyBorder="1" applyAlignment="1" applyProtection="1">
      <alignment horizontal="center"/>
      <protection hidden="1"/>
    </xf>
    <xf numFmtId="174" fontId="2" fillId="9" borderId="1" xfId="49" applyNumberFormat="1" applyFont="1" applyFill="1" applyBorder="1" applyAlignment="1">
      <alignment horizontal="center"/>
    </xf>
    <xf numFmtId="175" fontId="2" fillId="9" borderId="1" xfId="24" applyNumberFormat="1" applyFont="1" applyFill="1" applyBorder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4" fontId="26" fillId="3" borderId="0" xfId="23" applyNumberFormat="1" applyFont="1" applyFill="1" applyProtection="1"/>
    <xf numFmtId="0" fontId="19" fillId="3" borderId="0" xfId="23" applyFont="1" applyFill="1" applyBorder="1" applyProtection="1"/>
    <xf numFmtId="1" fontId="3" fillId="3" borderId="0" xfId="23" applyNumberFormat="1" applyFont="1" applyFill="1" applyBorder="1" applyAlignment="1" applyProtection="1">
      <alignment horizontal="center" vertical="center"/>
    </xf>
    <xf numFmtId="166" fontId="3" fillId="0" borderId="0" xfId="23" applyNumberFormat="1" applyFont="1" applyFill="1" applyBorder="1" applyAlignment="1" applyProtection="1">
      <alignment horizontal="center"/>
    </xf>
    <xf numFmtId="10" fontId="16" fillId="0" borderId="0" xfId="23" applyNumberFormat="1" applyFont="1" applyFill="1" applyBorder="1" applyAlignment="1" applyProtection="1">
      <alignment horizontal="center"/>
    </xf>
    <xf numFmtId="0" fontId="4" fillId="0" borderId="26" xfId="23" applyBorder="1" applyAlignment="1" applyProtection="1">
      <alignment horizontal="center"/>
    </xf>
    <xf numFmtId="14" fontId="4" fillId="0" borderId="13" xfId="23" applyNumberFormat="1" applyBorder="1" applyAlignment="1" applyProtection="1">
      <alignment horizontal="center"/>
    </xf>
    <xf numFmtId="2" fontId="4" fillId="0" borderId="14" xfId="23" applyNumberFormat="1" applyBorder="1" applyAlignment="1" applyProtection="1">
      <alignment horizontal="center"/>
    </xf>
    <xf numFmtId="167" fontId="4" fillId="0" borderId="14" xfId="23" applyNumberFormat="1" applyBorder="1" applyAlignment="1" applyProtection="1">
      <alignment horizontal="center"/>
    </xf>
    <xf numFmtId="2" fontId="4" fillId="0" borderId="1" xfId="23" applyNumberFormat="1" applyBorder="1" applyAlignment="1" applyProtection="1">
      <alignment horizontal="center"/>
    </xf>
    <xf numFmtId="167" fontId="4" fillId="0" borderId="1" xfId="23" applyNumberFormat="1" applyBorder="1" applyAlignment="1" applyProtection="1">
      <alignment horizontal="center"/>
    </xf>
    <xf numFmtId="178" fontId="4" fillId="0" borderId="1" xfId="23" applyNumberFormat="1" applyBorder="1" applyAlignment="1" applyProtection="1">
      <alignment horizontal="center"/>
    </xf>
    <xf numFmtId="2" fontId="4" fillId="0" borderId="13" xfId="23" applyNumberFormat="1" applyBorder="1" applyAlignment="1" applyProtection="1">
      <alignment horizontal="center"/>
    </xf>
    <xf numFmtId="167" fontId="4" fillId="0" borderId="13" xfId="23" applyNumberFormat="1" applyBorder="1" applyAlignment="1" applyProtection="1">
      <alignment horizontal="center"/>
    </xf>
    <xf numFmtId="178" fontId="4" fillId="0" borderId="13" xfId="23" applyNumberFormat="1" applyBorder="1" applyAlignment="1" applyProtection="1">
      <alignment horizontal="center"/>
    </xf>
    <xf numFmtId="0" fontId="4" fillId="10" borderId="0" xfId="23" applyFont="1" applyFill="1" applyProtection="1"/>
    <xf numFmtId="168" fontId="9" fillId="2" borderId="6" xfId="23" applyNumberFormat="1" applyFont="1" applyFill="1" applyBorder="1" applyAlignment="1" applyProtection="1">
      <alignment horizontal="center" vertical="center"/>
    </xf>
    <xf numFmtId="1" fontId="39" fillId="11" borderId="1" xfId="23" applyNumberFormat="1" applyFont="1" applyFill="1" applyBorder="1" applyAlignment="1" applyProtection="1">
      <alignment horizontal="center" vertical="top" wrapText="1"/>
      <protection locked="0"/>
    </xf>
    <xf numFmtId="10" fontId="3" fillId="0" borderId="27" xfId="23" applyNumberFormat="1" applyFont="1" applyFill="1" applyBorder="1" applyAlignment="1" applyProtection="1"/>
    <xf numFmtId="10" fontId="3" fillId="0" borderId="0" xfId="23" applyNumberFormat="1" applyFont="1" applyFill="1" applyBorder="1" applyAlignment="1" applyProtection="1"/>
    <xf numFmtId="1" fontId="31" fillId="0" borderId="0" xfId="23" applyNumberFormat="1" applyFont="1" applyFill="1" applyAlignment="1" applyProtection="1">
      <alignment horizontal="right"/>
    </xf>
    <xf numFmtId="0" fontId="31" fillId="0" borderId="0" xfId="23" applyFont="1" applyFill="1" applyBorder="1" applyProtection="1"/>
    <xf numFmtId="1" fontId="32" fillId="0" borderId="0" xfId="0" applyNumberFormat="1" applyFont="1" applyFill="1" applyBorder="1" applyAlignment="1" applyProtection="1"/>
    <xf numFmtId="165" fontId="16" fillId="5" borderId="21" xfId="23" applyNumberFormat="1" applyFont="1" applyFill="1" applyBorder="1" applyAlignment="1" applyProtection="1">
      <alignment horizontal="center" vertical="center" wrapText="1"/>
    </xf>
    <xf numFmtId="0" fontId="0" fillId="10" borderId="1" xfId="0" applyFill="1" applyBorder="1" applyProtection="1">
      <protection hidden="1"/>
    </xf>
    <xf numFmtId="10" fontId="0" fillId="10" borderId="1" xfId="24" applyNumberFormat="1" applyFont="1" applyFill="1" applyBorder="1" applyProtection="1">
      <protection hidden="1"/>
    </xf>
    <xf numFmtId="4" fontId="2" fillId="10" borderId="1" xfId="2" applyNumberFormat="1" applyFont="1" applyFill="1" applyBorder="1" applyAlignment="1" applyProtection="1">
      <alignment horizontal="center"/>
      <protection hidden="1"/>
    </xf>
    <xf numFmtId="174" fontId="2" fillId="10" borderId="1" xfId="49" applyNumberFormat="1" applyFont="1" applyFill="1" applyBorder="1" applyAlignment="1">
      <alignment horizontal="center"/>
    </xf>
    <xf numFmtId="175" fontId="2" fillId="10" borderId="1" xfId="24" applyNumberFormat="1" applyFont="1" applyFill="1" applyBorder="1" applyAlignment="1" applyProtection="1">
      <alignment horizontal="right"/>
      <protection hidden="1"/>
    </xf>
    <xf numFmtId="0" fontId="0" fillId="13" borderId="1" xfId="0" applyFill="1" applyBorder="1" applyProtection="1">
      <protection hidden="1"/>
    </xf>
    <xf numFmtId="10" fontId="0" fillId="13" borderId="1" xfId="24" applyNumberFormat="1" applyFont="1" applyFill="1" applyBorder="1" applyProtection="1">
      <protection hidden="1"/>
    </xf>
    <xf numFmtId="4" fontId="2" fillId="13" borderId="1" xfId="2" applyNumberFormat="1" applyFont="1" applyFill="1" applyBorder="1" applyAlignment="1" applyProtection="1">
      <alignment horizontal="center"/>
      <protection hidden="1"/>
    </xf>
    <xf numFmtId="174" fontId="2" fillId="13" borderId="1" xfId="49" applyNumberFormat="1" applyFont="1" applyFill="1" applyBorder="1" applyAlignment="1">
      <alignment horizontal="center"/>
    </xf>
    <xf numFmtId="175" fontId="2" fillId="13" borderId="1" xfId="24" applyNumberFormat="1" applyFont="1" applyFill="1" applyBorder="1" applyAlignment="1" applyProtection="1">
      <alignment horizontal="right"/>
      <protection hidden="1"/>
    </xf>
    <xf numFmtId="0" fontId="7" fillId="6" borderId="12" xfId="0" applyFont="1" applyFill="1" applyBorder="1" applyAlignment="1" applyProtection="1">
      <alignment horizontal="left"/>
    </xf>
    <xf numFmtId="0" fontId="7" fillId="6" borderId="2" xfId="0" applyFont="1" applyFill="1" applyBorder="1" applyAlignment="1" applyProtection="1">
      <alignment horizontal="left"/>
    </xf>
    <xf numFmtId="0" fontId="7" fillId="6" borderId="4" xfId="0" applyFont="1" applyFill="1" applyBorder="1" applyAlignment="1" applyProtection="1">
      <alignment horizontal="left"/>
    </xf>
    <xf numFmtId="10" fontId="16" fillId="0" borderId="0" xfId="23" applyNumberFormat="1" applyFont="1" applyFill="1" applyBorder="1" applyAlignment="1" applyProtection="1">
      <alignment horizontal="center"/>
    </xf>
    <xf numFmtId="0" fontId="3" fillId="10" borderId="5" xfId="23" applyFont="1" applyFill="1" applyBorder="1" applyAlignment="1" applyProtection="1">
      <alignment horizontal="center"/>
    </xf>
    <xf numFmtId="0" fontId="16" fillId="12" borderId="8" xfId="23" applyFont="1" applyFill="1" applyBorder="1" applyAlignment="1" applyProtection="1">
      <alignment horizontal="center" vertical="center"/>
      <protection locked="0"/>
    </xf>
    <xf numFmtId="0" fontId="16" fillId="12" borderId="17" xfId="23" applyFont="1" applyFill="1" applyBorder="1" applyAlignment="1" applyProtection="1">
      <alignment horizontal="center" vertical="center"/>
      <protection locked="0"/>
    </xf>
    <xf numFmtId="10" fontId="34" fillId="4" borderId="0" xfId="23" applyNumberFormat="1" applyFont="1" applyFill="1" applyAlignment="1" applyProtection="1">
      <alignment horizontal="center" vertical="center" wrapText="1"/>
    </xf>
    <xf numFmtId="10" fontId="34" fillId="4" borderId="0" xfId="23" applyNumberFormat="1" applyFont="1" applyFill="1" applyBorder="1" applyAlignment="1" applyProtection="1">
      <alignment horizontal="center" vertical="center" wrapText="1"/>
    </xf>
    <xf numFmtId="10" fontId="21" fillId="0" borderId="18" xfId="23" applyNumberFormat="1" applyFont="1" applyFill="1" applyBorder="1" applyAlignment="1" applyProtection="1">
      <alignment horizontal="center" vertical="center"/>
    </xf>
    <xf numFmtId="10" fontId="21" fillId="0" borderId="19" xfId="23" applyNumberFormat="1" applyFont="1" applyFill="1" applyBorder="1" applyAlignment="1" applyProtection="1">
      <alignment horizontal="center" vertical="center"/>
    </xf>
    <xf numFmtId="0" fontId="41" fillId="10" borderId="21" xfId="0" applyFont="1" applyFill="1" applyBorder="1" applyAlignment="1" applyProtection="1">
      <alignment horizontal="left" vertical="center"/>
    </xf>
    <xf numFmtId="0" fontId="38" fillId="10" borderId="22" xfId="0" applyFont="1" applyFill="1" applyBorder="1" applyAlignment="1" applyProtection="1">
      <alignment horizontal="left" vertical="center"/>
    </xf>
    <xf numFmtId="0" fontId="38" fillId="10" borderId="25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/>
    </xf>
    <xf numFmtId="0" fontId="8" fillId="0" borderId="27" xfId="23" applyFont="1" applyFill="1" applyBorder="1" applyAlignment="1" applyProtection="1">
      <alignment horizontal="center"/>
    </xf>
    <xf numFmtId="0" fontId="8" fillId="0" borderId="0" xfId="23" applyFont="1" applyFill="1" applyAlignment="1" applyProtection="1">
      <alignment horizontal="center"/>
    </xf>
    <xf numFmtId="171" fontId="16" fillId="0" borderId="0" xfId="23" applyNumberFormat="1" applyFont="1" applyFill="1" applyBorder="1" applyAlignment="1" applyProtection="1">
      <alignment horizontal="center"/>
    </xf>
    <xf numFmtId="4" fontId="16" fillId="0" borderId="1" xfId="23" applyNumberFormat="1" applyFont="1" applyBorder="1" applyAlignment="1" applyProtection="1">
      <alignment horizontal="center"/>
    </xf>
    <xf numFmtId="0" fontId="13" fillId="5" borderId="21" xfId="0" applyFont="1" applyFill="1" applyBorder="1" applyAlignment="1" applyProtection="1">
      <alignment horizontal="center" vertical="center"/>
    </xf>
    <xf numFmtId="0" fontId="13" fillId="5" borderId="22" xfId="0" applyFont="1" applyFill="1" applyBorder="1" applyAlignment="1" applyProtection="1">
      <alignment horizontal="center" vertical="center"/>
    </xf>
    <xf numFmtId="0" fontId="13" fillId="5" borderId="23" xfId="0" applyFont="1" applyFill="1" applyBorder="1" applyAlignment="1" applyProtection="1">
      <alignment horizontal="center" vertical="center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65" fontId="16" fillId="5" borderId="23" xfId="23" applyNumberFormat="1" applyFont="1" applyFill="1" applyBorder="1" applyAlignment="1" applyProtection="1">
      <alignment horizontal="center" vertical="center" wrapText="1"/>
    </xf>
    <xf numFmtId="4" fontId="29" fillId="3" borderId="9" xfId="23" applyNumberFormat="1" applyFont="1" applyFill="1" applyBorder="1" applyAlignment="1" applyProtection="1">
      <alignment horizontal="center"/>
    </xf>
    <xf numFmtId="4" fontId="29" fillId="3" borderId="17" xfId="23" applyNumberFormat="1" applyFont="1" applyFill="1" applyBorder="1" applyAlignment="1" applyProtection="1">
      <alignment horizontal="center"/>
    </xf>
    <xf numFmtId="0" fontId="9" fillId="2" borderId="21" xfId="23" applyFont="1" applyFill="1" applyBorder="1" applyAlignment="1" applyProtection="1">
      <alignment horizontal="left" vertical="center"/>
    </xf>
    <xf numFmtId="0" fontId="9" fillId="2" borderId="23" xfId="23" applyFont="1" applyFill="1" applyBorder="1" applyAlignment="1" applyProtection="1">
      <alignment horizontal="left" vertical="center"/>
    </xf>
    <xf numFmtId="168" fontId="9" fillId="2" borderId="21" xfId="23" applyNumberFormat="1" applyFont="1" applyFill="1" applyBorder="1" applyAlignment="1" applyProtection="1">
      <alignment horizontal="center" vertical="center"/>
    </xf>
    <xf numFmtId="168" fontId="9" fillId="2" borderId="23" xfId="23" applyNumberFormat="1" applyFont="1" applyFill="1" applyBorder="1" applyAlignment="1" applyProtection="1">
      <alignment horizontal="center" vertical="center"/>
    </xf>
    <xf numFmtId="166" fontId="4" fillId="3" borderId="0" xfId="46" applyNumberFormat="1" applyFont="1" applyFill="1" applyAlignment="1" applyProtection="1">
      <alignment horizontal="left"/>
    </xf>
    <xf numFmtId="4" fontId="16" fillId="0" borderId="13" xfId="23" applyNumberFormat="1" applyFont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  <xf numFmtId="0" fontId="25" fillId="0" borderId="12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left" vertical="center"/>
    </xf>
    <xf numFmtId="0" fontId="14" fillId="0" borderId="22" xfId="0" applyFont="1" applyFill="1" applyBorder="1" applyAlignment="1" applyProtection="1">
      <alignment horizontal="left" vertical="center"/>
    </xf>
    <xf numFmtId="0" fontId="14" fillId="0" borderId="23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/>
    </xf>
    <xf numFmtId="0" fontId="7" fillId="0" borderId="15" xfId="0" applyFont="1" applyFill="1" applyBorder="1" applyAlignment="1" applyProtection="1">
      <alignment horizontal="left"/>
    </xf>
    <xf numFmtId="166" fontId="4" fillId="0" borderId="0" xfId="46" applyNumberFormat="1" applyFont="1" applyFill="1" applyAlignment="1" applyProtection="1">
      <alignment horizontal="left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165" fontId="16" fillId="0" borderId="21" xfId="23" applyNumberFormat="1" applyFont="1" applyFill="1" applyBorder="1" applyAlignment="1" applyProtection="1">
      <alignment horizontal="center" vertical="center" wrapText="1"/>
    </xf>
    <xf numFmtId="165" fontId="16" fillId="0" borderId="23" xfId="23" applyNumberFormat="1" applyFont="1" applyFill="1" applyBorder="1" applyAlignment="1" applyProtection="1">
      <alignment horizontal="center" vertical="center" wrapText="1"/>
    </xf>
    <xf numFmtId="165" fontId="16" fillId="0" borderId="20" xfId="23" applyNumberFormat="1" applyFont="1" applyFill="1" applyBorder="1" applyAlignment="1" applyProtection="1">
      <alignment horizontal="center" vertical="center" wrapText="1"/>
    </xf>
    <xf numFmtId="165" fontId="16" fillId="0" borderId="16" xfId="23" applyNumberFormat="1" applyFont="1" applyFill="1" applyBorder="1" applyAlignment="1" applyProtection="1">
      <alignment horizontal="center" vertical="center" wrapText="1"/>
    </xf>
    <xf numFmtId="180" fontId="39" fillId="11" borderId="1" xfId="47" applyNumberFormat="1" applyFont="1" applyFill="1" applyBorder="1" applyAlignment="1" applyProtection="1">
      <alignment horizontal="center" vertical="top" wrapText="1"/>
      <protection locked="0"/>
    </xf>
  </cellXfs>
  <cellStyles count="52">
    <cellStyle name="Денежный 2" xfId="50"/>
    <cellStyle name="Обычный" xfId="0" builtinId="0"/>
    <cellStyle name="Обычный 17" xfId="1"/>
    <cellStyle name="Обычный 2" xfId="2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51"/>
    <cellStyle name="Обычный_Nedootrumani_dohodu" xfId="23"/>
    <cellStyle name="Процентный" xfId="24" builtinId="5"/>
    <cellStyle name="Процентный 2" xfId="25"/>
    <cellStyle name="Процентный 2 10" xfId="26"/>
    <cellStyle name="Процентный 2 11" xfId="27"/>
    <cellStyle name="Процентный 2 12" xfId="28"/>
    <cellStyle name="Процентный 2 13" xfId="29"/>
    <cellStyle name="Процентный 2 14" xfId="30"/>
    <cellStyle name="Процентный 2 15" xfId="31"/>
    <cellStyle name="Процентный 2 16" xfId="32"/>
    <cellStyle name="Процентный 2 17" xfId="33"/>
    <cellStyle name="Процентный 2 18" xfId="34"/>
    <cellStyle name="Процентный 2 19" xfId="35"/>
    <cellStyle name="Процентный 2 2" xfId="36"/>
    <cellStyle name="Процентный 2 20" xfId="37"/>
    <cellStyle name="Процентный 2 21" xfId="38"/>
    <cellStyle name="Процентный 2 3" xfId="39"/>
    <cellStyle name="Процентный 2 4" xfId="40"/>
    <cellStyle name="Процентный 2 5" xfId="41"/>
    <cellStyle name="Процентный 2 6" xfId="42"/>
    <cellStyle name="Процентный 2 7" xfId="43"/>
    <cellStyle name="Процентный 2 8" xfId="44"/>
    <cellStyle name="Процентный 2 9" xfId="45"/>
    <cellStyle name="Процентный 3" xfId="46"/>
    <cellStyle name="Процентный 3 2" xfId="49"/>
    <cellStyle name="Финансовый" xfId="47" builtinId="3"/>
    <cellStyle name="Финансов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811258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877933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811258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877933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811258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877933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98"/>
  <sheetViews>
    <sheetView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09375" defaultRowHeight="13.2" outlineLevelCol="1" x14ac:dyDescent="0.25"/>
  <cols>
    <col min="1" max="1" width="2.44140625" style="15" customWidth="1"/>
    <col min="2" max="2" width="9" style="4" customWidth="1"/>
    <col min="3" max="3" width="10.109375" style="4" customWidth="1"/>
    <col min="4" max="4" width="19.5546875" style="4" bestFit="1" customWidth="1"/>
    <col min="5" max="5" width="25.6640625" style="4" bestFit="1" customWidth="1"/>
    <col min="6" max="6" width="20.6640625" style="4" bestFit="1" customWidth="1"/>
    <col min="7" max="7" width="14.44140625" style="51" customWidth="1"/>
    <col min="8" max="8" width="11.44140625" style="45" customWidth="1"/>
    <col min="9" max="9" width="16.21875" style="38" customWidth="1"/>
    <col min="10" max="10" width="4.5546875" style="3" customWidth="1"/>
    <col min="11" max="12" width="9.109375" style="4" hidden="1" customWidth="1" outlineLevel="1"/>
    <col min="13" max="13" width="9.109375" style="113" collapsed="1"/>
    <col min="14" max="29" width="9.109375" style="113"/>
    <col min="30" max="16384" width="9.109375" style="4"/>
  </cols>
  <sheetData>
    <row r="1" spans="1:29" ht="19.8" customHeight="1" thickBot="1" x14ac:dyDescent="0.3">
      <c r="A1" s="59"/>
      <c r="B1" s="60"/>
      <c r="C1" s="60"/>
      <c r="D1" s="60"/>
      <c r="E1" s="116"/>
      <c r="F1" s="116"/>
      <c r="G1" s="105"/>
      <c r="H1" s="180" t="s">
        <v>40</v>
      </c>
      <c r="I1" s="180"/>
    </row>
    <row r="2" spans="1:29" s="43" customFormat="1" ht="12.75" customHeight="1" x14ac:dyDescent="0.25">
      <c r="A2" s="29"/>
      <c r="B2" s="117"/>
      <c r="C2" s="117"/>
      <c r="D2" s="117"/>
      <c r="E2" s="163">
        <f>VLOOKUP('Зустрічна пропозиція до 200'!H2,Лист2!A:N,14,FALSE)</f>
        <v>869</v>
      </c>
      <c r="F2" s="118">
        <f>VLOOKUP(H$2,Лист2!$A:$G,2,0)</f>
        <v>200000</v>
      </c>
      <c r="G2" s="134">
        <f ca="1">TODAY()</f>
        <v>44481</v>
      </c>
      <c r="H2" s="181" t="s">
        <v>47</v>
      </c>
      <c r="I2" s="182"/>
      <c r="J2" s="52"/>
      <c r="M2" s="157"/>
      <c r="N2" s="157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43" customFormat="1" ht="13.5" customHeight="1" thickBot="1" x14ac:dyDescent="0.3">
      <c r="A3" s="29"/>
      <c r="B3" s="117"/>
      <c r="C3" s="117"/>
      <c r="D3" s="117"/>
      <c r="E3" s="162">
        <f>IF(F5&lt;E2,"x",IF(F5&gt;F2,"y",F5))+F7</f>
        <v>40000</v>
      </c>
      <c r="F3" s="183" t="str">
        <f>IF(E3="x","Збільшіть суму",IF(E3="y","Зменшіть суму",""))</f>
        <v/>
      </c>
      <c r="G3" s="67">
        <f>Назви!B33</f>
        <v>30.4</v>
      </c>
      <c r="H3" s="185" t="str">
        <f>VLOOKUP(H$2,Лист2!$A:$G,7,0)</f>
        <v>max. 200000 грн.</v>
      </c>
      <c r="I3" s="186"/>
      <c r="J3" s="5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43" customFormat="1" ht="9" customHeight="1" thickBot="1" x14ac:dyDescent="0.3">
      <c r="A4" s="29"/>
      <c r="B4" s="29"/>
      <c r="C4" s="29"/>
      <c r="D4" s="29"/>
      <c r="E4" s="127"/>
      <c r="F4" s="184"/>
      <c r="G4" s="44"/>
      <c r="H4" s="144"/>
      <c r="I4" s="52"/>
      <c r="J4" s="52"/>
      <c r="K4" s="6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21" customHeight="1" thickBot="1" x14ac:dyDescent="0.3">
      <c r="A5" s="6"/>
      <c r="B5" s="187" t="s">
        <v>42</v>
      </c>
      <c r="C5" s="188"/>
      <c r="D5" s="188"/>
      <c r="E5" s="189"/>
      <c r="F5" s="228">
        <v>40000</v>
      </c>
      <c r="G5" s="160" t="s">
        <v>23</v>
      </c>
      <c r="H5" s="161"/>
      <c r="I5" s="3"/>
      <c r="J5" s="53"/>
      <c r="K5" s="64"/>
    </row>
    <row r="6" spans="1:29" s="5" customFormat="1" ht="7.5" customHeight="1" thickBot="1" x14ac:dyDescent="0.3">
      <c r="A6" s="6"/>
      <c r="B6" s="7"/>
      <c r="C6" s="2"/>
      <c r="D6" s="7"/>
      <c r="E6" s="2"/>
      <c r="F6" s="8"/>
      <c r="G6" s="45"/>
      <c r="H6" s="46"/>
      <c r="I6" s="2"/>
      <c r="J6" s="54"/>
      <c r="K6" s="6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5" customFormat="1" ht="18" customHeight="1" thickBot="1" x14ac:dyDescent="0.3">
      <c r="A7" s="6"/>
      <c r="B7" s="187" t="s">
        <v>43</v>
      </c>
      <c r="C7" s="188"/>
      <c r="D7" s="188"/>
      <c r="E7" s="189"/>
      <c r="F7" s="159">
        <v>0</v>
      </c>
      <c r="G7" s="160" t="s">
        <v>23</v>
      </c>
      <c r="H7" s="46"/>
      <c r="I7" s="2"/>
      <c r="J7" s="54"/>
      <c r="K7" s="64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5" customFormat="1" ht="9" customHeight="1" x14ac:dyDescent="0.25">
      <c r="A8" s="6"/>
      <c r="B8" s="164"/>
      <c r="C8" s="2"/>
      <c r="D8" s="7"/>
      <c r="E8" s="2"/>
      <c r="F8" s="8"/>
      <c r="G8" s="45"/>
      <c r="H8" s="46"/>
      <c r="I8" s="2"/>
      <c r="J8" s="54"/>
      <c r="K8" s="6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s="5" customFormat="1" ht="13.8" customHeight="1" x14ac:dyDescent="0.25">
      <c r="A9" s="6"/>
      <c r="B9" s="176" t="s">
        <v>41</v>
      </c>
      <c r="C9" s="177"/>
      <c r="D9" s="177"/>
      <c r="E9" s="178"/>
      <c r="F9" s="17">
        <f>F5+F7+E18</f>
        <v>40000</v>
      </c>
      <c r="G9" s="45"/>
      <c r="H9" s="46"/>
      <c r="I9" s="2"/>
      <c r="J9" s="54"/>
      <c r="K9" s="64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1:29" s="5" customFormat="1" ht="7.5" customHeight="1" x14ac:dyDescent="0.25">
      <c r="A10" s="6"/>
      <c r="B10" s="7"/>
      <c r="C10" s="2"/>
      <c r="D10" s="7"/>
      <c r="E10" s="2"/>
      <c r="F10" s="8"/>
      <c r="G10" s="45"/>
      <c r="H10" s="46"/>
      <c r="I10" s="2"/>
      <c r="J10" s="54"/>
      <c r="K10" s="6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x14ac:dyDescent="0.25">
      <c r="A11" s="6"/>
      <c r="B11" s="176" t="str">
        <f>Назви!A3</f>
        <v>Процентна ставка, % річних</v>
      </c>
      <c r="C11" s="177">
        <f>Назви!B3</f>
        <v>0</v>
      </c>
      <c r="D11" s="177">
        <f>Назви!C3</f>
        <v>0</v>
      </c>
      <c r="E11" s="178">
        <f>Назви!D3</f>
        <v>0</v>
      </c>
      <c r="F11" s="39">
        <f>VLOOKUP(H$2,Лист2!$A:$G,4,0)</f>
        <v>0.55000000000000004</v>
      </c>
      <c r="G11" s="179"/>
      <c r="H11" s="179"/>
      <c r="I11" s="3"/>
      <c r="J11" s="53"/>
      <c r="K11" s="64"/>
    </row>
    <row r="12" spans="1:29" s="5" customFormat="1" ht="6.75" customHeight="1" x14ac:dyDescent="0.25">
      <c r="A12" s="6"/>
      <c r="B12" s="7"/>
      <c r="C12" s="2"/>
      <c r="D12" s="7"/>
      <c r="E12" s="2"/>
      <c r="F12" s="106">
        <v>1.0000000000000001E-5</v>
      </c>
      <c r="G12" s="45"/>
      <c r="H12" s="46"/>
      <c r="I12" s="2"/>
      <c r="J12" s="54"/>
      <c r="K12" s="64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ht="12.6" customHeight="1" x14ac:dyDescent="0.25">
      <c r="A13" s="6"/>
      <c r="B13" s="176" t="str">
        <f>Назви!A5</f>
        <v>Разовий страховий тариф, %</v>
      </c>
      <c r="C13" s="177">
        <f>Назви!B5</f>
        <v>0</v>
      </c>
      <c r="D13" s="177">
        <f>Назви!C5</f>
        <v>0</v>
      </c>
      <c r="E13" s="178">
        <f>Назви!D5</f>
        <v>0</v>
      </c>
      <c r="F13" s="39">
        <f>VLOOKUP(H$2,Лист2!$A:$G,5,0)</f>
        <v>0.12</v>
      </c>
      <c r="G13" s="179"/>
      <c r="H13" s="179"/>
      <c r="I13" s="3"/>
      <c r="J13" s="53"/>
      <c r="K13" s="131" t="str">
        <f>Лист2!A4</f>
        <v>Зустрічна пропозиція до 200, 60 міс.</v>
      </c>
    </row>
    <row r="14" spans="1:29" s="5" customFormat="1" ht="6.6" customHeight="1" x14ac:dyDescent="0.25">
      <c r="A14" s="6"/>
      <c r="B14" s="7"/>
      <c r="C14" s="2"/>
      <c r="D14" s="7"/>
      <c r="E14" s="2"/>
      <c r="F14" s="47"/>
      <c r="G14" s="45"/>
      <c r="H14" s="46"/>
      <c r="I14" s="2"/>
      <c r="J14" s="54"/>
      <c r="K14" s="131" t="str">
        <f>Лист2!A5</f>
        <v>Зустрічна пропозиція до 200, 48 міс.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x14ac:dyDescent="0.25">
      <c r="A15" s="6"/>
      <c r="B15" s="176" t="str">
        <f>Назви!A7</f>
        <v xml:space="preserve">Щомісячна плата за обслуговування кредитної заборгованості, % </v>
      </c>
      <c r="C15" s="177">
        <f>Назви!B7</f>
        <v>0</v>
      </c>
      <c r="D15" s="177">
        <f>Назви!C7</f>
        <v>0</v>
      </c>
      <c r="E15" s="178">
        <f>Назви!D7</f>
        <v>0</v>
      </c>
      <c r="F15" s="39">
        <f>VLOOKUP(H$2,Лист2!$A:$G,6,0)</f>
        <v>0</v>
      </c>
      <c r="G15" s="179"/>
      <c r="H15" s="179"/>
      <c r="I15" s="3"/>
      <c r="J15" s="53"/>
      <c r="K15" s="131" t="str">
        <f>Лист2!A6</f>
        <v>Зустрічна пропозиція до 200, 36 міс.</v>
      </c>
    </row>
    <row r="16" spans="1:29" s="5" customFormat="1" ht="6.75" customHeight="1" x14ac:dyDescent="0.25">
      <c r="A16" s="6"/>
      <c r="B16" s="7"/>
      <c r="C16" s="2"/>
      <c r="D16" s="7"/>
      <c r="E16" s="2"/>
      <c r="F16" s="12"/>
      <c r="G16" s="45"/>
      <c r="H16" s="46"/>
      <c r="I16" s="2"/>
      <c r="J16" s="54"/>
      <c r="K16" s="131" t="str">
        <f>Лист2!A7</f>
        <v>Зустрічна пропозиція до 200, 24 міс.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</row>
    <row r="17" spans="1:29" x14ac:dyDescent="0.25">
      <c r="A17" s="6"/>
      <c r="B17" s="176" t="str">
        <f>Назви!A9</f>
        <v>Термін кредитування (міс.)</v>
      </c>
      <c r="C17" s="177">
        <f>Назви!B9</f>
        <v>0</v>
      </c>
      <c r="D17" s="177">
        <f>Назви!C9</f>
        <v>0</v>
      </c>
      <c r="E17" s="178">
        <f>Назви!D9</f>
        <v>0</v>
      </c>
      <c r="F17" s="63">
        <f>VLOOKUP(H$2,Лист2!$A:$G,3,0)</f>
        <v>60</v>
      </c>
      <c r="G17" s="179"/>
      <c r="H17" s="179"/>
      <c r="I17" s="3"/>
      <c r="J17" s="53"/>
      <c r="K17" s="131" t="str">
        <f>Лист2!A8</f>
        <v>Зустрічна пропозиція до 200, 18 міс.</v>
      </c>
    </row>
    <row r="18" spans="1:29" s="15" customFormat="1" ht="7.8" customHeight="1" x14ac:dyDescent="0.25">
      <c r="A18" s="6"/>
      <c r="B18" s="13"/>
      <c r="C18" s="58"/>
      <c r="D18" s="110"/>
      <c r="E18" s="132">
        <f>F7*F13</f>
        <v>0</v>
      </c>
      <c r="F18" s="117"/>
      <c r="G18" s="112"/>
      <c r="H18" s="14"/>
      <c r="I18" s="1"/>
      <c r="J18" s="54"/>
      <c r="K18" s="131" t="str">
        <f>Лист2!A9</f>
        <v>Зустрічна пропозиція до 200, 12 міс.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5" customFormat="1" ht="11.25" customHeight="1" x14ac:dyDescent="0.25">
      <c r="A19" s="6"/>
      <c r="B19" s="13"/>
      <c r="C19" s="58"/>
      <c r="D19" s="110"/>
      <c r="E19" s="133">
        <f>E18+E3</f>
        <v>40000</v>
      </c>
      <c r="F19" s="117"/>
      <c r="G19" s="112"/>
      <c r="H19" s="16"/>
      <c r="I19" s="1"/>
      <c r="J19" s="116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s="15" customFormat="1" x14ac:dyDescent="0.25">
      <c r="A20" s="6"/>
      <c r="B20" s="190" t="str">
        <f>Назви!A12</f>
        <v>Орієнтовний платіж, грн.</v>
      </c>
      <c r="C20" s="191">
        <f>Назви!B12</f>
        <v>0</v>
      </c>
      <c r="D20" s="191">
        <f>Назви!C12</f>
        <v>0</v>
      </c>
      <c r="E20" s="192">
        <f>Назви!D12</f>
        <v>0</v>
      </c>
      <c r="F20" s="17">
        <f>PMT(F11/12,F17,-E19)+F15*E19</f>
        <v>1967.0107179901208</v>
      </c>
      <c r="G20" s="193"/>
      <c r="H20" s="194"/>
      <c r="I20" s="123"/>
      <c r="J20" s="54"/>
      <c r="K20" s="131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s="15" customFormat="1" ht="7.2" customHeight="1" x14ac:dyDescent="0.25">
      <c r="A21" s="6"/>
      <c r="B21" s="19"/>
      <c r="C21" s="19"/>
      <c r="D21" s="19"/>
      <c r="E21" s="19"/>
      <c r="F21" s="20"/>
      <c r="G21" s="21"/>
      <c r="H21" s="22"/>
      <c r="I21" s="1"/>
      <c r="J21" s="55"/>
      <c r="K21" s="131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15" customFormat="1" x14ac:dyDescent="0.25">
      <c r="A22" s="6"/>
      <c r="B22" s="190" t="str">
        <f>Назви!A14</f>
        <v>Орієнтовні загальні витрати за кредитом, грн.</v>
      </c>
      <c r="C22" s="191">
        <f>Назви!B14</f>
        <v>0</v>
      </c>
      <c r="D22" s="191">
        <f>Назви!C14</f>
        <v>0</v>
      </c>
      <c r="E22" s="192">
        <f>Назви!D14</f>
        <v>0</v>
      </c>
      <c r="F22" s="17">
        <f>G91-E3</f>
        <v>71675.02000000015</v>
      </c>
      <c r="G22" s="195"/>
      <c r="H22" s="195"/>
      <c r="I22" s="1"/>
      <c r="J22" s="55"/>
      <c r="K22" s="131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s="15" customFormat="1" ht="7.2" customHeight="1" x14ac:dyDescent="0.25">
      <c r="A23" s="6"/>
      <c r="B23" s="23"/>
      <c r="C23" s="23"/>
      <c r="D23" s="23"/>
      <c r="E23" s="23"/>
      <c r="F23" s="24"/>
      <c r="G23" s="21"/>
      <c r="H23" s="22"/>
      <c r="I23" s="1"/>
      <c r="J23" s="55"/>
      <c r="K23" s="131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s="15" customFormat="1" x14ac:dyDescent="0.25">
      <c r="A24" s="6"/>
      <c r="B24" s="190" t="str">
        <f>Назви!A16</f>
        <v>Орієнтовна загальна вартість кредиту, грн.</v>
      </c>
      <c r="C24" s="191">
        <f>Назви!B16</f>
        <v>0</v>
      </c>
      <c r="D24" s="191">
        <f>Назви!C16</f>
        <v>0</v>
      </c>
      <c r="E24" s="192">
        <f>Назви!D16</f>
        <v>0</v>
      </c>
      <c r="F24" s="17">
        <f>E3+F22</f>
        <v>111675.02000000015</v>
      </c>
      <c r="G24" s="179"/>
      <c r="H24" s="179"/>
      <c r="I24" s="1"/>
      <c r="J24" s="55"/>
      <c r="K24" s="131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15" customFormat="1" ht="7.2" customHeight="1" x14ac:dyDescent="0.25">
      <c r="A25" s="6"/>
      <c r="B25" s="19"/>
      <c r="C25" s="19"/>
      <c r="D25" s="19"/>
      <c r="E25" s="19"/>
      <c r="F25" s="26"/>
      <c r="G25" s="21"/>
      <c r="H25" s="22"/>
      <c r="I25" s="1"/>
      <c r="J25" s="1"/>
      <c r="K25" s="131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s="15" customFormat="1" x14ac:dyDescent="0.25">
      <c r="A26" s="6"/>
      <c r="B26" s="190" t="str">
        <f>Назви!A18</f>
        <v>Орієнтовна реальна річна процентна ставка, %</v>
      </c>
      <c r="C26" s="191"/>
      <c r="D26" s="191"/>
      <c r="E26" s="192"/>
      <c r="F26" s="39">
        <f ca="1">XIRR(G30:G90,C30:C90)</f>
        <v>0.69952059984207149</v>
      </c>
      <c r="G26" s="143"/>
      <c r="H26" s="22"/>
      <c r="I26" s="1"/>
      <c r="J26" s="1"/>
      <c r="K26" s="131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</row>
    <row r="27" spans="1:29" s="15" customFormat="1" ht="13.8" thickBot="1" x14ac:dyDescent="0.3">
      <c r="A27" s="6"/>
      <c r="B27" s="30"/>
      <c r="C27" s="19"/>
      <c r="D27" s="121"/>
      <c r="E27" s="31"/>
      <c r="F27" s="32"/>
      <c r="G27" s="22"/>
      <c r="H27" s="21"/>
      <c r="I27" s="1"/>
      <c r="J27" s="1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9" ht="18" thickBot="1" x14ac:dyDescent="0.3">
      <c r="A28" s="1"/>
      <c r="B28" s="197" t="str">
        <f>Назви!A27</f>
        <v>Орієнтовний порядок повернення кредиту</v>
      </c>
      <c r="C28" s="198"/>
      <c r="D28" s="198"/>
      <c r="E28" s="198"/>
      <c r="F28" s="198"/>
      <c r="G28" s="198"/>
      <c r="H28" s="199"/>
      <c r="I28" s="3"/>
      <c r="K28" s="131"/>
    </row>
    <row r="29" spans="1:29" ht="31.2" customHeight="1" thickBot="1" x14ac:dyDescent="0.3">
      <c r="A29" s="1"/>
      <c r="B29" s="165" t="s">
        <v>39</v>
      </c>
      <c r="C29" s="165" t="str">
        <f>Назви!A28</f>
        <v>Місяць</v>
      </c>
      <c r="D29" s="111" t="str">
        <f>Назви!C28</f>
        <v>Погашення суми кредиту, грн.</v>
      </c>
      <c r="E29" s="111" t="str">
        <f>Назви!D28</f>
        <v>Розмір щомісячної плати за обслуговування кредитної заборгованості, грн.</v>
      </c>
      <c r="F29" s="111" t="str">
        <f>Назви!E28</f>
        <v>Проценти за користування кредитом, грн.</v>
      </c>
      <c r="G29" s="200" t="str">
        <f>Назви!F28</f>
        <v>Сума платежу за розрахунковий період, грн.</v>
      </c>
      <c r="H29" s="201"/>
      <c r="I29" s="3"/>
      <c r="K29" s="131"/>
    </row>
    <row r="30" spans="1:29" ht="12.6" hidden="1" customHeight="1" thickBot="1" x14ac:dyDescent="0.3">
      <c r="A30" s="1"/>
      <c r="B30" s="107">
        <v>0</v>
      </c>
      <c r="C30" s="142">
        <f ca="1">TODAY()</f>
        <v>44481</v>
      </c>
      <c r="D30" s="108"/>
      <c r="E30" s="109"/>
      <c r="F30" s="108"/>
      <c r="G30" s="202">
        <f>-1*E3</f>
        <v>-40000</v>
      </c>
      <c r="H30" s="203"/>
      <c r="I30" s="3"/>
      <c r="K30" s="131"/>
    </row>
    <row r="31" spans="1:29" x14ac:dyDescent="0.25">
      <c r="A31" s="1">
        <v>1</v>
      </c>
      <c r="B31" s="120">
        <v>1</v>
      </c>
      <c r="C31" s="126">
        <f ca="1">DATE(YEAR(C30),MONTH(C30)+1,DAY(C30))</f>
        <v>44512</v>
      </c>
      <c r="D31" s="149">
        <f>IF(B31&lt;$F$17,$F$20-E31-F31,IF(B31=$F$17,$E$19-SUM($D$30:D30),0))</f>
        <v>158.79071799012081</v>
      </c>
      <c r="E31" s="150">
        <f>IF(B31&lt;=$F$17,(E$19*(VLOOKUP($H$2,Лист2!$A:$N,12,0)-(B31-1)*VLOOKUP($H$2,Лист2!$A:$N,13,0))),0)</f>
        <v>0</v>
      </c>
      <c r="F31" s="150">
        <f>ROUND(E$19*F$11*30/365,2)</f>
        <v>1808.22</v>
      </c>
      <c r="G31" s="196">
        <f>SUM(D31:F31)</f>
        <v>1967.0107179901208</v>
      </c>
      <c r="H31" s="196"/>
      <c r="I31" s="3"/>
      <c r="K31" s="131"/>
    </row>
    <row r="32" spans="1:29" x14ac:dyDescent="0.25">
      <c r="A32" s="1">
        <v>2</v>
      </c>
      <c r="B32" s="119">
        <v>2</v>
      </c>
      <c r="C32" s="122">
        <f t="shared" ref="C32:C90" ca="1" si="0">DATE(YEAR(C31),MONTH(C31)+1,DAY(C31))</f>
        <v>44542</v>
      </c>
      <c r="D32" s="151">
        <f>IF(B32&lt;$F$17,$F$20-E32-F32,IF(B32=$F$17,$E$19-SUM($D$30:D31),0))</f>
        <v>165.97071799012087</v>
      </c>
      <c r="E32" s="152">
        <f>IF(B32&lt;=$F$17,(E$19*(VLOOKUP($H$2,Лист2!$A:$N,12,0)-(B32-1)*VLOOKUP($H$2,Лист2!$A:$N,13,0))),0)</f>
        <v>0</v>
      </c>
      <c r="F32" s="153">
        <f>ROUND((E$19-SUM(D$31:D31))*F$11*30/365,2)</f>
        <v>1801.04</v>
      </c>
      <c r="G32" s="196">
        <f t="shared" ref="G32:G90" si="1">SUM(D32:F32)</f>
        <v>1967.0107179901208</v>
      </c>
      <c r="H32" s="196"/>
      <c r="I32" s="3"/>
      <c r="K32" s="131"/>
    </row>
    <row r="33" spans="1:11" x14ac:dyDescent="0.25">
      <c r="A33" s="1">
        <v>3</v>
      </c>
      <c r="B33" s="119">
        <v>3</v>
      </c>
      <c r="C33" s="122">
        <f t="shared" ca="1" si="0"/>
        <v>44573</v>
      </c>
      <c r="D33" s="151">
        <f>IF(B33&lt;$F$17,$F$20-E33-F33,IF(B33=$F$17,$E$19-SUM($D$30:D32),0))</f>
        <v>173.47071799012087</v>
      </c>
      <c r="E33" s="152">
        <f>IF(B33&lt;=$F$17,(E$19*(VLOOKUP($H$2,Лист2!$A:$N,12,0)-(B33-1)*VLOOKUP($H$2,Лист2!$A:$N,13,0))),0)</f>
        <v>0</v>
      </c>
      <c r="F33" s="153">
        <f>ROUND((E$19-SUM(D$31:D32))*F$11*30/365,2)</f>
        <v>1793.54</v>
      </c>
      <c r="G33" s="196">
        <f t="shared" si="1"/>
        <v>1967.0107179901208</v>
      </c>
      <c r="H33" s="196"/>
      <c r="I33" s="3"/>
      <c r="K33" s="131"/>
    </row>
    <row r="34" spans="1:11" x14ac:dyDescent="0.25">
      <c r="A34" s="1">
        <v>4</v>
      </c>
      <c r="B34" s="119">
        <v>4</v>
      </c>
      <c r="C34" s="122">
        <f t="shared" ca="1" si="0"/>
        <v>44604</v>
      </c>
      <c r="D34" s="151">
        <f>IF(B34&lt;$F$17,$F$20-E34-F34,IF(B34=$F$17,$E$19-SUM($D$30:D33),0))</f>
        <v>181.31071799012079</v>
      </c>
      <c r="E34" s="152">
        <f>IF(B34&lt;=$F$17,(E$19*(VLOOKUP($H$2,Лист2!$A:$N,12,0)-(B34-1)*VLOOKUP($H$2,Лист2!$A:$N,13,0))),0)</f>
        <v>0</v>
      </c>
      <c r="F34" s="153">
        <f>ROUND((E$19-SUM(D$31:D33))*F$11*30/365,2)</f>
        <v>1785.7</v>
      </c>
      <c r="G34" s="196">
        <f t="shared" si="1"/>
        <v>1967.0107179901208</v>
      </c>
      <c r="H34" s="196"/>
      <c r="I34" s="3"/>
      <c r="K34" s="131"/>
    </row>
    <row r="35" spans="1:11" x14ac:dyDescent="0.25">
      <c r="A35" s="1">
        <v>5</v>
      </c>
      <c r="B35" s="119">
        <v>5</v>
      </c>
      <c r="C35" s="122">
        <f t="shared" ca="1" si="0"/>
        <v>44632</v>
      </c>
      <c r="D35" s="151">
        <f>IF(B35&lt;$F$17,$F$20-E35-F35,IF(B35=$F$17,$E$19-SUM($D$30:D34),0))</f>
        <v>189.51071799012084</v>
      </c>
      <c r="E35" s="152">
        <f>IF(B35&lt;=$F$17,(E$19*(VLOOKUP($H$2,Лист2!$A:$N,12,0)-(B35-1)*VLOOKUP($H$2,Лист2!$A:$N,13,0))),0)</f>
        <v>0</v>
      </c>
      <c r="F35" s="153">
        <f>ROUND((E$19-SUM(D$31:D34))*F$11*30/365,2)</f>
        <v>1777.5</v>
      </c>
      <c r="G35" s="196">
        <f t="shared" si="1"/>
        <v>1967.0107179901208</v>
      </c>
      <c r="H35" s="196"/>
      <c r="I35" s="3"/>
      <c r="K35" s="131"/>
    </row>
    <row r="36" spans="1:11" x14ac:dyDescent="0.25">
      <c r="A36" s="1">
        <v>6</v>
      </c>
      <c r="B36" s="119">
        <v>6</v>
      </c>
      <c r="C36" s="122">
        <f t="shared" ca="1" si="0"/>
        <v>44663</v>
      </c>
      <c r="D36" s="151">
        <f>IF(B36&lt;$F$17,$F$20-E36-F36,IF(B36=$F$17,$E$19-SUM($D$30:D35),0))</f>
        <v>198.08071799012077</v>
      </c>
      <c r="E36" s="152">
        <f>IF(B36&lt;=$F$17,(E$19*(VLOOKUP($H$2,Лист2!$A:$N,12,0)-(B36-1)*VLOOKUP($H$2,Лист2!$A:$N,13,0))),0)</f>
        <v>0</v>
      </c>
      <c r="F36" s="153">
        <f>ROUND((E$19-SUM(D$31:D35))*F$11*30/365,2)</f>
        <v>1768.93</v>
      </c>
      <c r="G36" s="196">
        <f t="shared" si="1"/>
        <v>1967.0107179901208</v>
      </c>
      <c r="H36" s="196"/>
      <c r="I36" s="3"/>
      <c r="K36" s="131"/>
    </row>
    <row r="37" spans="1:11" x14ac:dyDescent="0.25">
      <c r="A37" s="1">
        <v>7</v>
      </c>
      <c r="B37" s="119">
        <v>7</v>
      </c>
      <c r="C37" s="122">
        <f t="shared" ca="1" si="0"/>
        <v>44693</v>
      </c>
      <c r="D37" s="151">
        <f>IF(B37&lt;$F$17,$F$20-E37-F37,IF(B37=$F$17,$E$19-SUM($D$30:D36),0))</f>
        <v>207.03071799012082</v>
      </c>
      <c r="E37" s="152">
        <f>IF(B37&lt;=$F$17,(E$19*(VLOOKUP($H$2,Лист2!$A:$N,12,0)-(B37-1)*VLOOKUP($H$2,Лист2!$A:$N,13,0))),0)</f>
        <v>0</v>
      </c>
      <c r="F37" s="153">
        <f>ROUND((E$19-SUM(D$31:D36))*F$11*30/365,2)</f>
        <v>1759.98</v>
      </c>
      <c r="G37" s="196">
        <f t="shared" si="1"/>
        <v>1967.0107179901208</v>
      </c>
      <c r="H37" s="196"/>
      <c r="I37" s="3"/>
      <c r="K37" s="131"/>
    </row>
    <row r="38" spans="1:11" x14ac:dyDescent="0.25">
      <c r="A38" s="1">
        <v>8</v>
      </c>
      <c r="B38" s="119">
        <v>8</v>
      </c>
      <c r="C38" s="122">
        <f t="shared" ca="1" si="0"/>
        <v>44724</v>
      </c>
      <c r="D38" s="151">
        <f>IF(B38&lt;$F$17,$F$20-E38-F38,IF(B38=$F$17,$E$19-SUM($D$30:D37),0))</f>
        <v>216.39071799012095</v>
      </c>
      <c r="E38" s="152">
        <f>IF(B38&lt;=$F$17,(E$19*(VLOOKUP($H$2,Лист2!$A:$N,12,0)-(B38-1)*VLOOKUP($H$2,Лист2!$A:$N,13,0))),0)</f>
        <v>0</v>
      </c>
      <c r="F38" s="153">
        <f>ROUND((E$19-SUM(D$31:D37))*F$11*30/365,2)</f>
        <v>1750.62</v>
      </c>
      <c r="G38" s="196">
        <f t="shared" si="1"/>
        <v>1967.0107179901208</v>
      </c>
      <c r="H38" s="196"/>
      <c r="I38" s="3"/>
      <c r="K38" s="131"/>
    </row>
    <row r="39" spans="1:11" x14ac:dyDescent="0.25">
      <c r="A39" s="1">
        <v>9</v>
      </c>
      <c r="B39" s="119">
        <v>9</v>
      </c>
      <c r="C39" s="122">
        <f t="shared" ca="1" si="0"/>
        <v>44754</v>
      </c>
      <c r="D39" s="151">
        <f>IF(B39&lt;$F$17,$F$20-E39-F39,IF(B39=$F$17,$E$19-SUM($D$30:D38),0))</f>
        <v>226.17071799012092</v>
      </c>
      <c r="E39" s="152">
        <f>IF(B39&lt;=$F$17,(E$19*(VLOOKUP($H$2,Лист2!$A:$N,12,0)-(B39-1)*VLOOKUP($H$2,Лист2!$A:$N,13,0))),0)</f>
        <v>0</v>
      </c>
      <c r="F39" s="153">
        <f>ROUND((E$19-SUM(D$31:D38))*F$11*30/365,2)</f>
        <v>1740.84</v>
      </c>
      <c r="G39" s="196">
        <f t="shared" si="1"/>
        <v>1967.0107179901208</v>
      </c>
      <c r="H39" s="196"/>
      <c r="I39" s="3"/>
      <c r="K39" s="131"/>
    </row>
    <row r="40" spans="1:11" x14ac:dyDescent="0.25">
      <c r="A40" s="1">
        <v>10</v>
      </c>
      <c r="B40" s="119">
        <v>10</v>
      </c>
      <c r="C40" s="122">
        <f t="shared" ca="1" si="0"/>
        <v>44785</v>
      </c>
      <c r="D40" s="151">
        <f>IF(B40&lt;$F$17,$F$20-E40-F40,IF(B40=$F$17,$E$19-SUM($D$30:D39),0))</f>
        <v>236.40071799012094</v>
      </c>
      <c r="E40" s="152">
        <f>IF(B40&lt;=$F$17,(E$19*(VLOOKUP($H$2,Лист2!$A:$N,12,0)-(B40-1)*VLOOKUP($H$2,Лист2!$A:$N,13,0))),0)</f>
        <v>0</v>
      </c>
      <c r="F40" s="153">
        <f>ROUND((E$19-SUM(D$31:D39))*F$11*30/365,2)</f>
        <v>1730.61</v>
      </c>
      <c r="G40" s="196">
        <f t="shared" si="1"/>
        <v>1967.0107179901208</v>
      </c>
      <c r="H40" s="196"/>
      <c r="I40" s="3"/>
      <c r="K40" s="131"/>
    </row>
    <row r="41" spans="1:11" x14ac:dyDescent="0.25">
      <c r="A41" s="1">
        <v>22</v>
      </c>
      <c r="B41" s="119">
        <v>11</v>
      </c>
      <c r="C41" s="122">
        <f t="shared" ca="1" si="0"/>
        <v>44816</v>
      </c>
      <c r="D41" s="151">
        <f>IF(B41&lt;$F$17,$F$20-E41-F41,IF(B41=$F$17,$E$19-SUM($D$30:D40),0))</f>
        <v>247.08071799012077</v>
      </c>
      <c r="E41" s="152">
        <f>IF(B41&lt;=$F$17,(E$19*(VLOOKUP($H$2,Лист2!$A:$N,12,0)-(B41-1)*VLOOKUP($H$2,Лист2!$A:$N,13,0))),0)</f>
        <v>0</v>
      </c>
      <c r="F41" s="153">
        <f>ROUND((E$19-SUM(D$31:D40))*F$11*30/365,2)</f>
        <v>1719.93</v>
      </c>
      <c r="G41" s="196">
        <f t="shared" si="1"/>
        <v>1967.0107179901208</v>
      </c>
      <c r="H41" s="196"/>
      <c r="I41" s="3"/>
      <c r="K41" s="131"/>
    </row>
    <row r="42" spans="1:11" x14ac:dyDescent="0.25">
      <c r="A42" s="1">
        <v>22</v>
      </c>
      <c r="B42" s="119">
        <v>12</v>
      </c>
      <c r="C42" s="122">
        <f t="shared" ca="1" si="0"/>
        <v>44846</v>
      </c>
      <c r="D42" s="151">
        <f>IF(B42&lt;$F$17,$F$20-E42-F42,IF(B42=$F$17,$E$19-SUM($D$30:D41),0))</f>
        <v>258.25071799012085</v>
      </c>
      <c r="E42" s="152">
        <f>IF(B42&lt;=$F$17,(E$19*(VLOOKUP($H$2,Лист2!$A:$N,12,0)-(B42-1)*VLOOKUP($H$2,Лист2!$A:$N,13,0))),0)</f>
        <v>0</v>
      </c>
      <c r="F42" s="153">
        <f>ROUND((E$19-SUM(D$31:D41))*F$11*30/365,2)</f>
        <v>1708.76</v>
      </c>
      <c r="G42" s="196">
        <f t="shared" si="1"/>
        <v>1967.0107179901208</v>
      </c>
      <c r="H42" s="196"/>
      <c r="I42" s="3"/>
      <c r="K42" s="131"/>
    </row>
    <row r="43" spans="1:11" x14ac:dyDescent="0.25">
      <c r="A43" s="1">
        <v>13</v>
      </c>
      <c r="B43" s="119">
        <v>13</v>
      </c>
      <c r="C43" s="122">
        <f t="shared" ca="1" si="0"/>
        <v>44877</v>
      </c>
      <c r="D43" s="151">
        <f>IF(B43&lt;$F$17,$F$20-E43-F43,IF(B43=$F$17,$E$19-SUM($D$30:D42),0))</f>
        <v>269.93071799012091</v>
      </c>
      <c r="E43" s="152">
        <f>IF(B43&lt;=$F$17,(E$19*(VLOOKUP($H$2,Лист2!$A:$N,12,0)-(B43-1)*VLOOKUP($H$2,Лист2!$A:$N,13,0))),0)</f>
        <v>0</v>
      </c>
      <c r="F43" s="153">
        <f>ROUND((E$19-SUM(D$31:D42))*F$11*30/365,2)</f>
        <v>1697.08</v>
      </c>
      <c r="G43" s="196">
        <f t="shared" si="1"/>
        <v>1967.0107179901208</v>
      </c>
      <c r="H43" s="196"/>
      <c r="I43" s="3"/>
      <c r="K43" s="131"/>
    </row>
    <row r="44" spans="1:11" x14ac:dyDescent="0.25">
      <c r="A44" s="1">
        <v>14</v>
      </c>
      <c r="B44" s="119">
        <v>14</v>
      </c>
      <c r="C44" s="122">
        <f t="shared" ca="1" si="0"/>
        <v>44907</v>
      </c>
      <c r="D44" s="151">
        <f>IF(B44&lt;$F$17,$F$20-E44-F44,IF(B44=$F$17,$E$19-SUM($D$30:D43),0))</f>
        <v>282.13071799012073</v>
      </c>
      <c r="E44" s="152">
        <f>IF(B44&lt;=$F$17,(E$19*(VLOOKUP($H$2,Лист2!$A:$N,12,0)-(B44-1)*VLOOKUP($H$2,Лист2!$A:$N,13,0))),0)</f>
        <v>0</v>
      </c>
      <c r="F44" s="153">
        <f>ROUND((E$19-SUM(D$31:D43))*F$11*30/365,2)</f>
        <v>1684.88</v>
      </c>
      <c r="G44" s="196">
        <f t="shared" si="1"/>
        <v>1967.0107179901208</v>
      </c>
      <c r="H44" s="196"/>
      <c r="I44" s="3"/>
      <c r="K44" s="131"/>
    </row>
    <row r="45" spans="1:11" x14ac:dyDescent="0.25">
      <c r="A45" s="1">
        <v>15</v>
      </c>
      <c r="B45" s="119">
        <v>15</v>
      </c>
      <c r="C45" s="122">
        <f t="shared" ca="1" si="0"/>
        <v>44938</v>
      </c>
      <c r="D45" s="151">
        <f>IF(B45&lt;$F$17,$F$20-E45-F45,IF(B45=$F$17,$E$19-SUM($D$30:D44),0))</f>
        <v>294.88071799012073</v>
      </c>
      <c r="E45" s="152">
        <f>IF(B45&lt;=$F$17,(E$19*(VLOOKUP($H$2,Лист2!$A:$N,12,0)-(B45-1)*VLOOKUP($H$2,Лист2!$A:$N,13,0))),0)</f>
        <v>0</v>
      </c>
      <c r="F45" s="153">
        <f>ROUND((E$19-SUM(D$31:D44))*F$11*30/365,2)</f>
        <v>1672.13</v>
      </c>
      <c r="G45" s="196">
        <f t="shared" si="1"/>
        <v>1967.0107179901208</v>
      </c>
      <c r="H45" s="196"/>
      <c r="I45" s="3"/>
      <c r="K45" s="131"/>
    </row>
    <row r="46" spans="1:11" x14ac:dyDescent="0.25">
      <c r="A46" s="1">
        <v>16</v>
      </c>
      <c r="B46" s="119">
        <v>16</v>
      </c>
      <c r="C46" s="122">
        <f t="shared" ca="1" si="0"/>
        <v>44969</v>
      </c>
      <c r="D46" s="151">
        <f>IF(B46&lt;$F$17,$F$20-E46-F46,IF(B46=$F$17,$E$19-SUM($D$30:D45),0))</f>
        <v>308.21071799012088</v>
      </c>
      <c r="E46" s="152">
        <f>IF(B46&lt;=$F$17,(E$19*(VLOOKUP($H$2,Лист2!$A:$N,12,0)-(B46-1)*VLOOKUP($H$2,Лист2!$A:$N,13,0))),0)</f>
        <v>0</v>
      </c>
      <c r="F46" s="153">
        <f>ROUND((E$19-SUM(D$31:D45))*F$11*30/365,2)</f>
        <v>1658.8</v>
      </c>
      <c r="G46" s="196">
        <f t="shared" si="1"/>
        <v>1967.0107179901208</v>
      </c>
      <c r="H46" s="196"/>
      <c r="I46" s="3"/>
      <c r="K46" s="131"/>
    </row>
    <row r="47" spans="1:11" x14ac:dyDescent="0.25">
      <c r="A47" s="1">
        <v>22</v>
      </c>
      <c r="B47" s="119">
        <v>17</v>
      </c>
      <c r="C47" s="122">
        <f t="shared" ca="1" si="0"/>
        <v>44997</v>
      </c>
      <c r="D47" s="151">
        <f>IF(B47&lt;$F$17,$F$20-E47-F47,IF(B47=$F$17,$E$19-SUM($D$30:D46),0))</f>
        <v>322.15071799012094</v>
      </c>
      <c r="E47" s="152">
        <f>IF(B47&lt;=$F$17,(E$19*(VLOOKUP($H$2,Лист2!$A:$N,12,0)-(B47-1)*VLOOKUP($H$2,Лист2!$A:$N,13,0))),0)</f>
        <v>0</v>
      </c>
      <c r="F47" s="153">
        <f>ROUND((E$19-SUM(D$31:D46))*F$11*30/365,2)</f>
        <v>1644.86</v>
      </c>
      <c r="G47" s="196">
        <f t="shared" si="1"/>
        <v>1967.0107179901208</v>
      </c>
      <c r="H47" s="196"/>
      <c r="I47" s="3"/>
      <c r="K47" s="131"/>
    </row>
    <row r="48" spans="1:11" x14ac:dyDescent="0.25">
      <c r="A48" s="1">
        <v>22</v>
      </c>
      <c r="B48" s="119">
        <v>18</v>
      </c>
      <c r="C48" s="122">
        <f t="shared" ca="1" si="0"/>
        <v>45028</v>
      </c>
      <c r="D48" s="151">
        <f>IF(B48&lt;$F$17,$F$20-E48-F48,IF(B48=$F$17,$E$19-SUM($D$30:D47),0))</f>
        <v>336.71071799012088</v>
      </c>
      <c r="E48" s="152">
        <f>IF(B48&lt;=$F$17,(E$19*(VLOOKUP($H$2,Лист2!$A:$N,12,0)-(B48-1)*VLOOKUP($H$2,Лист2!$A:$N,13,0))),0)</f>
        <v>0</v>
      </c>
      <c r="F48" s="153">
        <f>ROUND((E$19-SUM(D$31:D47))*F$11*30/365,2)</f>
        <v>1630.3</v>
      </c>
      <c r="G48" s="196">
        <f t="shared" si="1"/>
        <v>1967.0107179901208</v>
      </c>
      <c r="H48" s="196"/>
      <c r="I48" s="3"/>
      <c r="K48" s="131"/>
    </row>
    <row r="49" spans="1:11" x14ac:dyDescent="0.25">
      <c r="A49" s="1">
        <v>19</v>
      </c>
      <c r="B49" s="119">
        <v>19</v>
      </c>
      <c r="C49" s="122">
        <f t="shared" ca="1" si="0"/>
        <v>45058</v>
      </c>
      <c r="D49" s="151">
        <f>IF(B49&lt;$F$17,$F$20-E49-F49,IF(B49=$F$17,$E$19-SUM($D$30:D48),0))</f>
        <v>351.93071799012091</v>
      </c>
      <c r="E49" s="152">
        <f>IF(B49&lt;=$F$17,(E$19*(VLOOKUP($H$2,Лист2!$A:$N,12,0)-(B49-1)*VLOOKUP($H$2,Лист2!$A:$N,13,0))),0)</f>
        <v>0</v>
      </c>
      <c r="F49" s="153">
        <f>ROUND((E$19-SUM(D$31:D48))*F$11*30/365,2)</f>
        <v>1615.08</v>
      </c>
      <c r="G49" s="196">
        <f t="shared" si="1"/>
        <v>1967.0107179901208</v>
      </c>
      <c r="H49" s="196"/>
      <c r="I49" s="3"/>
      <c r="K49" s="131"/>
    </row>
    <row r="50" spans="1:11" x14ac:dyDescent="0.25">
      <c r="A50" s="1">
        <v>20</v>
      </c>
      <c r="B50" s="119">
        <v>20</v>
      </c>
      <c r="C50" s="122">
        <f t="shared" ca="1" si="0"/>
        <v>45089</v>
      </c>
      <c r="D50" s="151">
        <f>IF(B50&lt;$F$17,$F$20-E50-F50,IF(B50=$F$17,$E$19-SUM($D$30:D49),0))</f>
        <v>367.84071799012077</v>
      </c>
      <c r="E50" s="152">
        <f>IF(B50&lt;=$F$17,(E$19*(VLOOKUP($H$2,Лист2!$A:$N,12,0)-(B50-1)*VLOOKUP($H$2,Лист2!$A:$N,13,0))),0)</f>
        <v>0</v>
      </c>
      <c r="F50" s="153">
        <f>ROUND((E$19-SUM(D$31:D49))*F$11*30/365,2)</f>
        <v>1599.17</v>
      </c>
      <c r="G50" s="196">
        <f t="shared" si="1"/>
        <v>1967.0107179901208</v>
      </c>
      <c r="H50" s="196"/>
      <c r="I50" s="3"/>
      <c r="K50" s="131"/>
    </row>
    <row r="51" spans="1:11" x14ac:dyDescent="0.25">
      <c r="A51" s="59">
        <v>21</v>
      </c>
      <c r="B51" s="119">
        <v>21</v>
      </c>
      <c r="C51" s="122">
        <f t="shared" ca="1" si="0"/>
        <v>45119</v>
      </c>
      <c r="D51" s="151">
        <f>IF(B51&lt;$F$17,$F$20-E51-F51,IF(B51=$F$17,$E$19-SUM($D$30:D50),0))</f>
        <v>384.47071799012087</v>
      </c>
      <c r="E51" s="152">
        <f>IF(B51&lt;=$F$17,(E$19*(VLOOKUP($H$2,Лист2!$A:$N,12,0)-(B51-1)*VLOOKUP($H$2,Лист2!$A:$N,13,0))),0)</f>
        <v>0</v>
      </c>
      <c r="F51" s="153">
        <f>ROUND((E$19-SUM(D$31:D50))*F$11*30/365,2)</f>
        <v>1582.54</v>
      </c>
      <c r="G51" s="196">
        <f t="shared" si="1"/>
        <v>1967.0107179901208</v>
      </c>
      <c r="H51" s="196"/>
      <c r="I51" s="3"/>
      <c r="K51" s="131"/>
    </row>
    <row r="52" spans="1:11" x14ac:dyDescent="0.25">
      <c r="A52" s="59">
        <v>22</v>
      </c>
      <c r="B52" s="119">
        <v>22</v>
      </c>
      <c r="C52" s="122">
        <f t="shared" ca="1" si="0"/>
        <v>45150</v>
      </c>
      <c r="D52" s="151">
        <f>IF(B52&lt;$F$17,$F$20-E52-F52,IF(B52=$F$17,$E$19-SUM($D$30:D51),0))</f>
        <v>401.85071799012076</v>
      </c>
      <c r="E52" s="152">
        <f>IF(B52&lt;=$F$17,(E$19*(VLOOKUP($H$2,Лист2!$A:$N,12,0)-(B52-1)*VLOOKUP($H$2,Лист2!$A:$N,13,0))),0)</f>
        <v>0</v>
      </c>
      <c r="F52" s="153">
        <f>ROUND((E$19-SUM(D$31:D51))*F$11*30/365,2)</f>
        <v>1565.16</v>
      </c>
      <c r="G52" s="196">
        <f t="shared" si="1"/>
        <v>1967.0107179901208</v>
      </c>
      <c r="H52" s="196"/>
      <c r="I52" s="3"/>
    </row>
    <row r="53" spans="1:11" x14ac:dyDescent="0.25">
      <c r="A53" s="59">
        <v>25</v>
      </c>
      <c r="B53" s="119">
        <v>23</v>
      </c>
      <c r="C53" s="122">
        <f t="shared" ca="1" si="0"/>
        <v>45181</v>
      </c>
      <c r="D53" s="151">
        <f>IF(B53&lt;$F$17,$F$20-E53-F53,IF(B53=$F$17,$E$19-SUM($D$30:D52),0))</f>
        <v>420.01071799012084</v>
      </c>
      <c r="E53" s="152">
        <f>IF(B53&lt;=$F$17,(E$19*(VLOOKUP($H$2,Лист2!$A:$N,12,0)-(B53-1)*VLOOKUP($H$2,Лист2!$A:$N,13,0))),0)</f>
        <v>0</v>
      </c>
      <c r="F53" s="153">
        <f>ROUND((E$19-SUM(D$31:D52))*F$11*30/365,2)</f>
        <v>1547</v>
      </c>
      <c r="G53" s="196">
        <f t="shared" si="1"/>
        <v>1967.0107179901208</v>
      </c>
      <c r="H53" s="196"/>
      <c r="I53" s="3"/>
    </row>
    <row r="54" spans="1:11" x14ac:dyDescent="0.25">
      <c r="A54" s="59"/>
      <c r="B54" s="119">
        <v>24</v>
      </c>
      <c r="C54" s="122">
        <f t="shared" ca="1" si="0"/>
        <v>45211</v>
      </c>
      <c r="D54" s="151">
        <f>IF(B54&lt;$F$17,$F$20-E54-F54,IF(B54=$F$17,$E$19-SUM($D$30:D53),0))</f>
        <v>439.00071799012085</v>
      </c>
      <c r="E54" s="152">
        <f>IF(B54&lt;=$F$17,(E$19*(VLOOKUP($H$2,Лист2!$A:$N,12,0)-(B54-1)*VLOOKUP($H$2,Лист2!$A:$N,13,0))),0)</f>
        <v>0</v>
      </c>
      <c r="F54" s="153">
        <f>ROUND((E$19-SUM(D$31:D53))*F$11*30/365,2)</f>
        <v>1528.01</v>
      </c>
      <c r="G54" s="196">
        <f t="shared" si="1"/>
        <v>1967.0107179901208</v>
      </c>
      <c r="H54" s="196"/>
      <c r="I54" s="3"/>
    </row>
    <row r="55" spans="1:11" x14ac:dyDescent="0.25">
      <c r="A55" s="59"/>
      <c r="B55" s="119">
        <v>25</v>
      </c>
      <c r="C55" s="122">
        <f t="shared" ca="1" si="0"/>
        <v>45242</v>
      </c>
      <c r="D55" s="151">
        <f>IF(B55&lt;$F$17,$F$20-E55-F55,IF(B55=$F$17,$E$19-SUM($D$30:D54),0))</f>
        <v>458.85071799012076</v>
      </c>
      <c r="E55" s="152">
        <f>IF(B55&lt;=$F$17,(E$19*(VLOOKUP($H$2,Лист2!$A:$N,12,0)-(B55-1)*VLOOKUP($H$2,Лист2!$A:$N,13,0))),0)</f>
        <v>0</v>
      </c>
      <c r="F55" s="153">
        <f>ROUND((E$19-SUM(D$31:D54))*F$11*30/365,2)</f>
        <v>1508.16</v>
      </c>
      <c r="G55" s="196">
        <f t="shared" si="1"/>
        <v>1967.0107179901208</v>
      </c>
      <c r="H55" s="196"/>
      <c r="I55" s="3"/>
    </row>
    <row r="56" spans="1:11" x14ac:dyDescent="0.25">
      <c r="A56" s="59"/>
      <c r="B56" s="119">
        <v>26</v>
      </c>
      <c r="C56" s="122">
        <f t="shared" ca="1" si="0"/>
        <v>45272</v>
      </c>
      <c r="D56" s="151">
        <f>IF(B56&lt;$F$17,$F$20-E56-F56,IF(B56=$F$17,$E$19-SUM($D$30:D55),0))</f>
        <v>479.59071799012077</v>
      </c>
      <c r="E56" s="152">
        <f>IF(B56&lt;=$F$17,(E$19*(VLOOKUP($H$2,Лист2!$A:$N,12,0)-(B56-1)*VLOOKUP($H$2,Лист2!$A:$N,13,0))),0)</f>
        <v>0</v>
      </c>
      <c r="F56" s="153">
        <f>ROUND((E$19-SUM(D$31:D55))*F$11*30/365,2)</f>
        <v>1487.42</v>
      </c>
      <c r="G56" s="196">
        <f t="shared" si="1"/>
        <v>1967.0107179901208</v>
      </c>
      <c r="H56" s="196"/>
      <c r="I56" s="3"/>
    </row>
    <row r="57" spans="1:11" x14ac:dyDescent="0.25">
      <c r="A57" s="59"/>
      <c r="B57" s="119">
        <v>27</v>
      </c>
      <c r="C57" s="122">
        <f t="shared" ca="1" si="0"/>
        <v>45303</v>
      </c>
      <c r="D57" s="151">
        <f>IF(B57&lt;$F$17,$F$20-E57-F57,IF(B57=$F$17,$E$19-SUM($D$30:D56),0))</f>
        <v>501.27071799012083</v>
      </c>
      <c r="E57" s="152">
        <f>IF(B57&lt;=$F$17,(E$19*(VLOOKUP($H$2,Лист2!$A:$N,12,0)-(B57-1)*VLOOKUP($H$2,Лист2!$A:$N,13,0))),0)</f>
        <v>0</v>
      </c>
      <c r="F57" s="153">
        <f>ROUND((E$19-SUM(D$31:D56))*F$11*30/365,2)</f>
        <v>1465.74</v>
      </c>
      <c r="G57" s="196">
        <f t="shared" si="1"/>
        <v>1967.0107179901208</v>
      </c>
      <c r="H57" s="196"/>
      <c r="I57" s="3"/>
    </row>
    <row r="58" spans="1:11" x14ac:dyDescent="0.25">
      <c r="A58" s="59"/>
      <c r="B58" s="119">
        <v>28</v>
      </c>
      <c r="C58" s="122">
        <f t="shared" ca="1" si="0"/>
        <v>45334</v>
      </c>
      <c r="D58" s="151">
        <f>IF(B58&lt;$F$17,$F$20-E58-F58,IF(B58=$F$17,$E$19-SUM($D$30:D57),0))</f>
        <v>523.93071799012091</v>
      </c>
      <c r="E58" s="152">
        <f>IF(B58&lt;=$F$17,(E$19*(VLOOKUP($H$2,Лист2!$A:$N,12,0)-(B58-1)*VLOOKUP($H$2,Лист2!$A:$N,13,0))),0)</f>
        <v>0</v>
      </c>
      <c r="F58" s="153">
        <f>ROUND((E$19-SUM(D$31:D57))*F$11*30/365,2)</f>
        <v>1443.08</v>
      </c>
      <c r="G58" s="196">
        <f t="shared" si="1"/>
        <v>1967.0107179901208</v>
      </c>
      <c r="H58" s="196"/>
      <c r="I58" s="3"/>
    </row>
    <row r="59" spans="1:11" x14ac:dyDescent="0.25">
      <c r="A59" s="59"/>
      <c r="B59" s="119">
        <v>29</v>
      </c>
      <c r="C59" s="122">
        <f t="shared" ca="1" si="0"/>
        <v>45363</v>
      </c>
      <c r="D59" s="151">
        <f>IF(B59&lt;$F$17,$F$20-E59-F59,IF(B59=$F$17,$E$19-SUM($D$30:D58),0))</f>
        <v>547.61071799012075</v>
      </c>
      <c r="E59" s="152">
        <f>IF(B59&lt;=$F$17,(E$19*(VLOOKUP($H$2,Лист2!$A:$N,12,0)-(B59-1)*VLOOKUP($H$2,Лист2!$A:$N,13,0))),0)</f>
        <v>0</v>
      </c>
      <c r="F59" s="153">
        <f>ROUND((E$19-SUM(D$31:D58))*F$11*30/365,2)</f>
        <v>1419.4</v>
      </c>
      <c r="G59" s="196">
        <f t="shared" si="1"/>
        <v>1967.0107179901208</v>
      </c>
      <c r="H59" s="196"/>
      <c r="I59" s="3"/>
    </row>
    <row r="60" spans="1:11" x14ac:dyDescent="0.25">
      <c r="A60" s="59">
        <v>25</v>
      </c>
      <c r="B60" s="119">
        <v>30</v>
      </c>
      <c r="C60" s="122">
        <f t="shared" ca="1" si="0"/>
        <v>45394</v>
      </c>
      <c r="D60" s="151">
        <f>IF(B60&lt;$F$17,$F$20-E60-F60,IF(B60=$F$17,$E$19-SUM($D$30:D59),0))</f>
        <v>572.37071799012074</v>
      </c>
      <c r="E60" s="152">
        <f>IF(B60&lt;=$F$17,(E$19*(VLOOKUP($H$2,Лист2!$A:$N,12,0)-(B60-1)*VLOOKUP($H$2,Лист2!$A:$N,13,0))),0)</f>
        <v>0</v>
      </c>
      <c r="F60" s="153">
        <f>ROUND((E$19-SUM(D$31:D59))*F$11*30/365,2)</f>
        <v>1394.64</v>
      </c>
      <c r="G60" s="196">
        <f t="shared" si="1"/>
        <v>1967.0107179901208</v>
      </c>
      <c r="H60" s="196"/>
      <c r="I60" s="124"/>
      <c r="J60" s="124"/>
    </row>
    <row r="61" spans="1:11" x14ac:dyDescent="0.25">
      <c r="A61" s="59"/>
      <c r="B61" s="119">
        <v>31</v>
      </c>
      <c r="C61" s="122">
        <f t="shared" ca="1" si="0"/>
        <v>45424</v>
      </c>
      <c r="D61" s="151">
        <f>IF(B61&lt;$F$17,$F$20-E61-F61,IF(B61=$F$17,$E$19-SUM($D$30:D60),0))</f>
        <v>598.24071799012086</v>
      </c>
      <c r="E61" s="152">
        <f>IF(B61&lt;=$F$17,(E$19*(VLOOKUP($H$2,Лист2!$A:$N,12,0)-(B61-1)*VLOOKUP($H$2,Лист2!$A:$N,13,0))),0)</f>
        <v>0</v>
      </c>
      <c r="F61" s="153">
        <f>ROUND((E$19-SUM(D$31:D60))*F$11*30/365,2)</f>
        <v>1368.77</v>
      </c>
      <c r="G61" s="196">
        <f t="shared" si="1"/>
        <v>1967.0107179901208</v>
      </c>
      <c r="H61" s="196"/>
      <c r="I61" s="124"/>
      <c r="J61" s="124"/>
    </row>
    <row r="62" spans="1:11" x14ac:dyDescent="0.25">
      <c r="A62" s="59"/>
      <c r="B62" s="119">
        <v>32</v>
      </c>
      <c r="C62" s="122">
        <f t="shared" ca="1" si="0"/>
        <v>45455</v>
      </c>
      <c r="D62" s="151">
        <f>IF(B62&lt;$F$17,$F$20-E62-F62,IF(B62=$F$17,$E$19-SUM($D$30:D61),0))</f>
        <v>625.29071799012081</v>
      </c>
      <c r="E62" s="152">
        <f>IF(B62&lt;=$F$17,(E$19*(VLOOKUP($H$2,Лист2!$A:$N,12,0)-(B62-1)*VLOOKUP($H$2,Лист2!$A:$N,13,0))),0)</f>
        <v>0</v>
      </c>
      <c r="F62" s="153">
        <f>ROUND((E$19-SUM(D$31:D61))*F$11*30/365,2)</f>
        <v>1341.72</v>
      </c>
      <c r="G62" s="196">
        <f t="shared" si="1"/>
        <v>1967.0107179901208</v>
      </c>
      <c r="H62" s="196"/>
      <c r="I62" s="124"/>
      <c r="J62" s="124"/>
    </row>
    <row r="63" spans="1:11" x14ac:dyDescent="0.25">
      <c r="A63" s="59"/>
      <c r="B63" s="119">
        <v>33</v>
      </c>
      <c r="C63" s="122">
        <f t="shared" ca="1" si="0"/>
        <v>45485</v>
      </c>
      <c r="D63" s="151">
        <f>IF(B63&lt;$F$17,$F$20-E63-F63,IF(B63=$F$17,$E$19-SUM($D$30:D62),0))</f>
        <v>653.5507179901208</v>
      </c>
      <c r="E63" s="152">
        <f>IF(B63&lt;=$F$17,(E$19*(VLOOKUP($H$2,Лист2!$A:$N,12,0)-(B63-1)*VLOOKUP($H$2,Лист2!$A:$N,13,0))),0)</f>
        <v>0</v>
      </c>
      <c r="F63" s="153">
        <f>ROUND((E$19-SUM(D$31:D62))*F$11*30/365,2)</f>
        <v>1313.46</v>
      </c>
      <c r="G63" s="196">
        <f t="shared" si="1"/>
        <v>1967.0107179901208</v>
      </c>
      <c r="H63" s="196"/>
      <c r="I63" s="124"/>
      <c r="J63" s="124"/>
    </row>
    <row r="64" spans="1:11" x14ac:dyDescent="0.25">
      <c r="A64" s="59"/>
      <c r="B64" s="119">
        <v>34</v>
      </c>
      <c r="C64" s="122">
        <f t="shared" ca="1" si="0"/>
        <v>45516</v>
      </c>
      <c r="D64" s="151">
        <f>IF(B64&lt;$F$17,$F$20-E64-F64,IF(B64=$F$17,$E$19-SUM($D$30:D63),0))</f>
        <v>683.10071799012076</v>
      </c>
      <c r="E64" s="152">
        <f>IF(B64&lt;=$F$17,(E$19*(VLOOKUP($H$2,Лист2!$A:$N,12,0)-(B64-1)*VLOOKUP($H$2,Лист2!$A:$N,13,0))),0)</f>
        <v>0</v>
      </c>
      <c r="F64" s="153">
        <f>ROUND((E$19-SUM(D$31:D63))*F$11*30/365,2)</f>
        <v>1283.9100000000001</v>
      </c>
      <c r="G64" s="196">
        <f t="shared" si="1"/>
        <v>1967.0107179901208</v>
      </c>
      <c r="H64" s="196"/>
      <c r="I64" s="124"/>
      <c r="J64" s="124"/>
    </row>
    <row r="65" spans="1:10" x14ac:dyDescent="0.25">
      <c r="A65" s="59"/>
      <c r="B65" s="119">
        <v>35</v>
      </c>
      <c r="C65" s="122">
        <f t="shared" ca="1" si="0"/>
        <v>45547</v>
      </c>
      <c r="D65" s="151">
        <f>IF(B65&lt;$F$17,$F$20-E65-F65,IF(B65=$F$17,$E$19-SUM($D$30:D64),0))</f>
        <v>713.98071799012087</v>
      </c>
      <c r="E65" s="152">
        <f>IF(B65&lt;=$F$17,(E$19*(VLOOKUP($H$2,Лист2!$A:$N,12,0)-(B65-1)*VLOOKUP($H$2,Лист2!$A:$N,13,0))),0)</f>
        <v>0</v>
      </c>
      <c r="F65" s="153">
        <f>ROUND((E$19-SUM(D$31:D64))*F$11*30/365,2)</f>
        <v>1253.03</v>
      </c>
      <c r="G65" s="196">
        <f t="shared" si="1"/>
        <v>1967.0107179901208</v>
      </c>
      <c r="H65" s="196"/>
      <c r="I65" s="124"/>
      <c r="J65" s="124"/>
    </row>
    <row r="66" spans="1:10" x14ac:dyDescent="0.25">
      <c r="A66" s="59"/>
      <c r="B66" s="119">
        <v>36</v>
      </c>
      <c r="C66" s="122">
        <f t="shared" ca="1" si="0"/>
        <v>45577</v>
      </c>
      <c r="D66" s="151">
        <f>IF(B66&lt;$F$17,$F$20-E66-F66,IF(B66=$F$17,$E$19-SUM($D$30:D65),0))</f>
        <v>746.25071799012085</v>
      </c>
      <c r="E66" s="152">
        <f>IF(B66&lt;=$F$17,(E$19*(VLOOKUP($H$2,Лист2!$A:$N,12,0)-(B66-1)*VLOOKUP($H$2,Лист2!$A:$N,13,0))),0)</f>
        <v>0</v>
      </c>
      <c r="F66" s="153">
        <f>ROUND((E$19-SUM(D$31:D65))*F$11*30/365,2)</f>
        <v>1220.76</v>
      </c>
      <c r="G66" s="196">
        <f t="shared" si="1"/>
        <v>1967.0107179901208</v>
      </c>
      <c r="H66" s="196"/>
      <c r="I66" s="124"/>
      <c r="J66" s="124"/>
    </row>
    <row r="67" spans="1:10" x14ac:dyDescent="0.25">
      <c r="A67" s="59"/>
      <c r="B67" s="119">
        <v>37</v>
      </c>
      <c r="C67" s="122">
        <f t="shared" ca="1" si="0"/>
        <v>45608</v>
      </c>
      <c r="D67" s="151">
        <f>IF(B67&lt;$F$17,$F$20-E67-F67,IF(B67=$F$17,$E$19-SUM($D$30:D66),0))</f>
        <v>779.99071799012086</v>
      </c>
      <c r="E67" s="152">
        <f>IF(B67&lt;=$F$17,(E$19*(VLOOKUP($H$2,Лист2!$A:$N,12,0)-(B67-1)*VLOOKUP($H$2,Лист2!$A:$N,13,0))),0)</f>
        <v>0</v>
      </c>
      <c r="F67" s="153">
        <f>ROUND((E$19-SUM(D$31:D66))*F$11*30/365,2)</f>
        <v>1187.02</v>
      </c>
      <c r="G67" s="196">
        <f t="shared" si="1"/>
        <v>1967.0107179901208</v>
      </c>
      <c r="H67" s="196"/>
      <c r="I67" s="124"/>
      <c r="J67" s="124"/>
    </row>
    <row r="68" spans="1:10" x14ac:dyDescent="0.25">
      <c r="A68" s="59"/>
      <c r="B68" s="119">
        <v>38</v>
      </c>
      <c r="C68" s="122">
        <f t="shared" ca="1" si="0"/>
        <v>45638</v>
      </c>
      <c r="D68" s="151">
        <f>IF(B68&lt;$F$17,$F$20-E68-F68,IF(B68=$F$17,$E$19-SUM($D$30:D67),0))</f>
        <v>815.25071799012085</v>
      </c>
      <c r="E68" s="152">
        <f>IF(B68&lt;=$F$17,(E$19*(VLOOKUP($H$2,Лист2!$A:$N,12,0)-(B68-1)*VLOOKUP($H$2,Лист2!$A:$N,13,0))),0)</f>
        <v>0</v>
      </c>
      <c r="F68" s="153">
        <f>ROUND((E$19-SUM(D$31:D67))*F$11*30/365,2)</f>
        <v>1151.76</v>
      </c>
      <c r="G68" s="196">
        <f t="shared" si="1"/>
        <v>1967.0107179901208</v>
      </c>
      <c r="H68" s="196"/>
      <c r="I68" s="124"/>
      <c r="J68" s="124"/>
    </row>
    <row r="69" spans="1:10" x14ac:dyDescent="0.25">
      <c r="A69" s="59"/>
      <c r="B69" s="119">
        <v>39</v>
      </c>
      <c r="C69" s="122">
        <f t="shared" ca="1" si="0"/>
        <v>45669</v>
      </c>
      <c r="D69" s="151">
        <f>IF(B69&lt;$F$17,$F$20-E69-F69,IF(B69=$F$17,$E$19-SUM($D$30:D68),0))</f>
        <v>852.10071799012076</v>
      </c>
      <c r="E69" s="152">
        <f>IF(B69&lt;=$F$17,(E$19*(VLOOKUP($H$2,Лист2!$A:$N,12,0)-(B69-1)*VLOOKUP($H$2,Лист2!$A:$N,13,0))),0)</f>
        <v>0</v>
      </c>
      <c r="F69" s="153">
        <f>ROUND((E$19-SUM(D$31:D68))*F$11*30/365,2)</f>
        <v>1114.9100000000001</v>
      </c>
      <c r="G69" s="196">
        <f t="shared" si="1"/>
        <v>1967.0107179901208</v>
      </c>
      <c r="H69" s="196"/>
      <c r="I69" s="124"/>
      <c r="J69" s="124"/>
    </row>
    <row r="70" spans="1:10" x14ac:dyDescent="0.25">
      <c r="A70" s="59"/>
      <c r="B70" s="119">
        <v>40</v>
      </c>
      <c r="C70" s="122">
        <f t="shared" ca="1" si="0"/>
        <v>45700</v>
      </c>
      <c r="D70" s="151">
        <f>IF(B70&lt;$F$17,$F$20-E70-F70,IF(B70=$F$17,$E$19-SUM($D$30:D69),0))</f>
        <v>890.62071799012074</v>
      </c>
      <c r="E70" s="152">
        <f>IF(B70&lt;=$F$17,(E$19*(VLOOKUP($H$2,Лист2!$A:$N,12,0)-(B70-1)*VLOOKUP($H$2,Лист2!$A:$N,13,0))),0)</f>
        <v>0</v>
      </c>
      <c r="F70" s="153">
        <f>ROUND((E$19-SUM(D$31:D69))*F$11*30/365,2)</f>
        <v>1076.3900000000001</v>
      </c>
      <c r="G70" s="196">
        <f t="shared" si="1"/>
        <v>1967.0107179901208</v>
      </c>
      <c r="H70" s="196"/>
      <c r="I70" s="124"/>
      <c r="J70" s="124"/>
    </row>
    <row r="71" spans="1:10" x14ac:dyDescent="0.25">
      <c r="A71" s="59"/>
      <c r="B71" s="119">
        <v>41</v>
      </c>
      <c r="C71" s="122">
        <f t="shared" ca="1" si="0"/>
        <v>45728</v>
      </c>
      <c r="D71" s="151">
        <f>IF(B71&lt;$F$17,$F$20-E71-F71,IF(B71=$F$17,$E$19-SUM($D$30:D70),0))</f>
        <v>930.88071799012073</v>
      </c>
      <c r="E71" s="152">
        <f>IF(B71&lt;=$F$17,(E$19*(VLOOKUP($H$2,Лист2!$A:$N,12,0)-(B71-1)*VLOOKUP($H$2,Лист2!$A:$N,13,0))),0)</f>
        <v>0</v>
      </c>
      <c r="F71" s="153">
        <f>ROUND((E$19-SUM(D$31:D70))*F$11*30/365,2)</f>
        <v>1036.1300000000001</v>
      </c>
      <c r="G71" s="196">
        <f t="shared" si="1"/>
        <v>1967.0107179901208</v>
      </c>
      <c r="H71" s="196"/>
      <c r="I71" s="124"/>
      <c r="J71" s="124"/>
    </row>
    <row r="72" spans="1:10" x14ac:dyDescent="0.25">
      <c r="A72" s="59"/>
      <c r="B72" s="119">
        <v>42</v>
      </c>
      <c r="C72" s="122">
        <f t="shared" ca="1" si="0"/>
        <v>45759</v>
      </c>
      <c r="D72" s="151">
        <f>IF(B72&lt;$F$17,$F$20-E72-F72,IF(B72=$F$17,$E$19-SUM($D$30:D71),0))</f>
        <v>972.96071799012088</v>
      </c>
      <c r="E72" s="152">
        <f>IF(B72&lt;=$F$17,(E$19*(VLOOKUP($H$2,Лист2!$A:$N,12,0)-(B72-1)*VLOOKUP($H$2,Лист2!$A:$N,13,0))),0)</f>
        <v>0</v>
      </c>
      <c r="F72" s="153">
        <f>ROUND((E$19-SUM(D$31:D71))*F$11*30/365,2)</f>
        <v>994.05</v>
      </c>
      <c r="G72" s="196">
        <f t="shared" si="1"/>
        <v>1967.0107179901208</v>
      </c>
      <c r="H72" s="196"/>
      <c r="I72" s="124"/>
      <c r="J72" s="124"/>
    </row>
    <row r="73" spans="1:10" x14ac:dyDescent="0.25">
      <c r="A73" s="59"/>
      <c r="B73" s="119">
        <v>43</v>
      </c>
      <c r="C73" s="122">
        <f t="shared" ca="1" si="0"/>
        <v>45789</v>
      </c>
      <c r="D73" s="151">
        <f>IF(B73&lt;$F$17,$F$20-E73-F73,IF(B73=$F$17,$E$19-SUM($D$30:D72),0))</f>
        <v>1016.9507179901209</v>
      </c>
      <c r="E73" s="152">
        <f>IF(B73&lt;=$F$17,(E$19*(VLOOKUP($H$2,Лист2!$A:$N,12,0)-(B73-1)*VLOOKUP($H$2,Лист2!$A:$N,13,0))),0)</f>
        <v>0</v>
      </c>
      <c r="F73" s="153">
        <f>ROUND((E$19-SUM(D$31:D72))*F$11*30/365,2)</f>
        <v>950.06</v>
      </c>
      <c r="G73" s="196">
        <f t="shared" si="1"/>
        <v>1967.0107179901208</v>
      </c>
      <c r="H73" s="196"/>
      <c r="I73" s="124"/>
      <c r="J73" s="124"/>
    </row>
    <row r="74" spans="1:10" x14ac:dyDescent="0.25">
      <c r="A74" s="59"/>
      <c r="B74" s="119">
        <v>44</v>
      </c>
      <c r="C74" s="122">
        <f t="shared" ca="1" si="0"/>
        <v>45820</v>
      </c>
      <c r="D74" s="151">
        <f>IF(B74&lt;$F$17,$F$20-E74-F74,IF(B74=$F$17,$E$19-SUM($D$30:D73),0))</f>
        <v>1062.9207179901209</v>
      </c>
      <c r="E74" s="152">
        <f>IF(B74&lt;=$F$17,(E$19*(VLOOKUP($H$2,Лист2!$A:$N,12,0)-(B74-1)*VLOOKUP($H$2,Лист2!$A:$N,13,0))),0)</f>
        <v>0</v>
      </c>
      <c r="F74" s="153">
        <f>ROUND((E$19-SUM(D$31:D73))*F$11*30/365,2)</f>
        <v>904.09</v>
      </c>
      <c r="G74" s="196">
        <f t="shared" si="1"/>
        <v>1967.0107179901211</v>
      </c>
      <c r="H74" s="196"/>
      <c r="I74" s="124"/>
      <c r="J74" s="124"/>
    </row>
    <row r="75" spans="1:10" x14ac:dyDescent="0.25">
      <c r="A75" s="59"/>
      <c r="B75" s="119">
        <v>45</v>
      </c>
      <c r="C75" s="122">
        <f t="shared" ca="1" si="0"/>
        <v>45850</v>
      </c>
      <c r="D75" s="151">
        <f>IF(B75&lt;$F$17,$F$20-E75-F75,IF(B75=$F$17,$E$19-SUM($D$30:D74),0))</f>
        <v>1110.9707179901209</v>
      </c>
      <c r="E75" s="152">
        <f>IF(B75&lt;=$F$17,(E$19*(VLOOKUP($H$2,Лист2!$A:$N,12,0)-(B75-1)*VLOOKUP($H$2,Лист2!$A:$N,13,0))),0)</f>
        <v>0</v>
      </c>
      <c r="F75" s="153">
        <f>ROUND((E$19-SUM(D$31:D74))*F$11*30/365,2)</f>
        <v>856.04</v>
      </c>
      <c r="G75" s="196">
        <f t="shared" si="1"/>
        <v>1967.0107179901208</v>
      </c>
      <c r="H75" s="196"/>
      <c r="I75" s="124"/>
      <c r="J75" s="124"/>
    </row>
    <row r="76" spans="1:10" x14ac:dyDescent="0.25">
      <c r="A76" s="59"/>
      <c r="B76" s="119">
        <v>46</v>
      </c>
      <c r="C76" s="122">
        <f t="shared" ca="1" si="0"/>
        <v>45881</v>
      </c>
      <c r="D76" s="151">
        <f>IF(B76&lt;$F$17,$F$20-E76-F76,IF(B76=$F$17,$E$19-SUM($D$30:D75),0))</f>
        <v>1161.1907179901209</v>
      </c>
      <c r="E76" s="152">
        <f>IF(B76&lt;=$F$17,(E$19*(VLOOKUP($H$2,Лист2!$A:$N,12,0)-(B76-1)*VLOOKUP($H$2,Лист2!$A:$N,13,0))),0)</f>
        <v>0</v>
      </c>
      <c r="F76" s="153">
        <f>ROUND((E$19-SUM(D$31:D75))*F$11*30/365,2)</f>
        <v>805.82</v>
      </c>
      <c r="G76" s="196">
        <f t="shared" si="1"/>
        <v>1967.0107179901211</v>
      </c>
      <c r="H76" s="196"/>
      <c r="I76" s="124"/>
      <c r="J76" s="124"/>
    </row>
    <row r="77" spans="1:10" x14ac:dyDescent="0.25">
      <c r="A77" s="59"/>
      <c r="B77" s="119">
        <v>47</v>
      </c>
      <c r="C77" s="122">
        <f t="shared" ca="1" si="0"/>
        <v>45912</v>
      </c>
      <c r="D77" s="151">
        <f>IF(B77&lt;$F$17,$F$20-E77-F77,IF(B77=$F$17,$E$19-SUM($D$30:D76),0))</f>
        <v>1213.6807179901207</v>
      </c>
      <c r="E77" s="152">
        <f>IF(B77&lt;=$F$17,(E$19*(VLOOKUP($H$2,Лист2!$A:$N,12,0)-(B77-1)*VLOOKUP($H$2,Лист2!$A:$N,13,0))),0)</f>
        <v>0</v>
      </c>
      <c r="F77" s="153">
        <f>ROUND((E$19-SUM(D$31:D76))*F$11*30/365,2)</f>
        <v>753.33</v>
      </c>
      <c r="G77" s="196">
        <f t="shared" si="1"/>
        <v>1967.0107179901206</v>
      </c>
      <c r="H77" s="196"/>
      <c r="I77" s="124"/>
      <c r="J77" s="124"/>
    </row>
    <row r="78" spans="1:10" x14ac:dyDescent="0.25">
      <c r="A78" s="59"/>
      <c r="B78" s="119">
        <v>48</v>
      </c>
      <c r="C78" s="122">
        <f t="shared" ca="1" si="0"/>
        <v>45942</v>
      </c>
      <c r="D78" s="151">
        <f>IF(B78&lt;$F$17,$F$20-E78-F78,IF(B78=$F$17,$E$19-SUM($D$30:D77),0))</f>
        <v>1268.5507179901208</v>
      </c>
      <c r="E78" s="152">
        <f>IF(B78&lt;=$F$17,(E$19*(VLOOKUP($H$2,Лист2!$A:$N,12,0)-(B78-1)*VLOOKUP($H$2,Лист2!$A:$N,13,0))),0)</f>
        <v>0</v>
      </c>
      <c r="F78" s="153">
        <f>ROUND((E$19-SUM(D$31:D77))*F$11*30/365,2)</f>
        <v>698.46</v>
      </c>
      <c r="G78" s="196">
        <f t="shared" si="1"/>
        <v>1967.0107179901208</v>
      </c>
      <c r="H78" s="196"/>
      <c r="I78" s="124"/>
      <c r="J78" s="124"/>
    </row>
    <row r="79" spans="1:10" x14ac:dyDescent="0.25">
      <c r="A79" s="59"/>
      <c r="B79" s="119">
        <v>49</v>
      </c>
      <c r="C79" s="122">
        <f t="shared" ca="1" si="0"/>
        <v>45973</v>
      </c>
      <c r="D79" s="151">
        <f>IF(B79&lt;$F$17,$F$20-E79-F79,IF(B79=$F$17,$E$19-SUM($D$30:D78),0))</f>
        <v>1325.8907179901207</v>
      </c>
      <c r="E79" s="152">
        <f>IF(B79&lt;=$F$17,(E$19*(VLOOKUP($H$2,Лист2!$A:$N,12,0)-(B79-1)*VLOOKUP($H$2,Лист2!$A:$N,13,0))),0)</f>
        <v>0</v>
      </c>
      <c r="F79" s="153">
        <f>ROUND((E$19-SUM(D$31:D78))*F$11*30/365,2)</f>
        <v>641.12</v>
      </c>
      <c r="G79" s="196">
        <f t="shared" si="1"/>
        <v>1967.0107179901206</v>
      </c>
      <c r="H79" s="196"/>
      <c r="I79" s="124"/>
      <c r="J79" s="124"/>
    </row>
    <row r="80" spans="1:10" x14ac:dyDescent="0.25">
      <c r="A80" s="59"/>
      <c r="B80" s="119">
        <v>50</v>
      </c>
      <c r="C80" s="122">
        <f t="shared" ca="1" si="0"/>
        <v>46003</v>
      </c>
      <c r="D80" s="151">
        <f>IF(B80&lt;$F$17,$F$20-E80-F80,IF(B80=$F$17,$E$19-SUM($D$30:D79),0))</f>
        <v>1385.8307179901208</v>
      </c>
      <c r="E80" s="152">
        <f>IF(B80&lt;=$F$17,(E$19*(VLOOKUP($H$2,Лист2!$A:$N,12,0)-(B80-1)*VLOOKUP($H$2,Лист2!$A:$N,13,0))),0)</f>
        <v>0</v>
      </c>
      <c r="F80" s="153">
        <f>ROUND((E$19-SUM(D$31:D79))*F$11*30/365,2)</f>
        <v>581.17999999999995</v>
      </c>
      <c r="G80" s="196">
        <f t="shared" si="1"/>
        <v>1967.0107179901206</v>
      </c>
      <c r="H80" s="196"/>
      <c r="I80" s="124"/>
      <c r="J80" s="124"/>
    </row>
    <row r="81" spans="1:10" x14ac:dyDescent="0.25">
      <c r="A81" s="59"/>
      <c r="B81" s="119">
        <v>51</v>
      </c>
      <c r="C81" s="122">
        <f t="shared" ca="1" si="0"/>
        <v>46034</v>
      </c>
      <c r="D81" s="151">
        <f>IF(B81&lt;$F$17,$F$20-E81-F81,IF(B81=$F$17,$E$19-SUM($D$30:D80),0))</f>
        <v>1448.4807179901209</v>
      </c>
      <c r="E81" s="152">
        <f>IF(B81&lt;=$F$17,(E$19*(VLOOKUP($H$2,Лист2!$A:$N,12,0)-(B81-1)*VLOOKUP($H$2,Лист2!$A:$N,13,0))),0)</f>
        <v>0</v>
      </c>
      <c r="F81" s="153">
        <f>ROUND((E$19-SUM(D$31:D80))*F$11*30/365,2)</f>
        <v>518.53</v>
      </c>
      <c r="G81" s="196">
        <f t="shared" si="1"/>
        <v>1967.0107179901208</v>
      </c>
      <c r="H81" s="196"/>
      <c r="I81" s="124"/>
      <c r="J81" s="124"/>
    </row>
    <row r="82" spans="1:10" x14ac:dyDescent="0.25">
      <c r="A82" s="59"/>
      <c r="B82" s="119">
        <v>52</v>
      </c>
      <c r="C82" s="122">
        <f t="shared" ca="1" si="0"/>
        <v>46065</v>
      </c>
      <c r="D82" s="151">
        <f>IF(B82&lt;$F$17,$F$20-E82-F82,IF(B82=$F$17,$E$19-SUM($D$30:D81),0))</f>
        <v>1513.9607179901209</v>
      </c>
      <c r="E82" s="152">
        <f>IF(B82&lt;=$F$17,(E$19*(VLOOKUP($H$2,Лист2!$A:$N,12,0)-(B82-1)*VLOOKUP($H$2,Лист2!$A:$N,13,0))),0)</f>
        <v>0</v>
      </c>
      <c r="F82" s="153">
        <f>ROUND((E$19-SUM(D$31:D81))*F$11*30/365,2)</f>
        <v>453.05</v>
      </c>
      <c r="G82" s="196">
        <f t="shared" si="1"/>
        <v>1967.0107179901208</v>
      </c>
      <c r="H82" s="196"/>
      <c r="I82" s="124"/>
      <c r="J82" s="124"/>
    </row>
    <row r="83" spans="1:10" x14ac:dyDescent="0.25">
      <c r="A83" s="59"/>
      <c r="B83" s="119">
        <v>53</v>
      </c>
      <c r="C83" s="122">
        <f t="shared" ca="1" si="0"/>
        <v>46093</v>
      </c>
      <c r="D83" s="151">
        <f>IF(B83&lt;$F$17,$F$20-E83-F83,IF(B83=$F$17,$E$19-SUM($D$30:D82),0))</f>
        <v>1582.3907179901207</v>
      </c>
      <c r="E83" s="152">
        <f>IF(B83&lt;=$F$17,(E$19*(VLOOKUP($H$2,Лист2!$A:$N,12,0)-(B83-1)*VLOOKUP($H$2,Лист2!$A:$N,13,0))),0)</f>
        <v>0</v>
      </c>
      <c r="F83" s="153">
        <f>ROUND((E$19-SUM(D$31:D82))*F$11*30/365,2)</f>
        <v>384.62</v>
      </c>
      <c r="G83" s="196">
        <f t="shared" si="1"/>
        <v>1967.0107179901206</v>
      </c>
      <c r="H83" s="196"/>
      <c r="I83" s="124"/>
      <c r="J83" s="124"/>
    </row>
    <row r="84" spans="1:10" x14ac:dyDescent="0.25">
      <c r="A84" s="59"/>
      <c r="B84" s="119">
        <v>54</v>
      </c>
      <c r="C84" s="122">
        <f t="shared" ca="1" si="0"/>
        <v>46124</v>
      </c>
      <c r="D84" s="151">
        <f>IF(B84&lt;$F$17,$F$20-E84-F84,IF(B84=$F$17,$E$19-SUM($D$30:D83),0))</f>
        <v>1653.9307179901209</v>
      </c>
      <c r="E84" s="152">
        <f>IF(B84&lt;=$F$17,(E$19*(VLOOKUP($H$2,Лист2!$A:$N,12,0)-(B84-1)*VLOOKUP($H$2,Лист2!$A:$N,13,0))),0)</f>
        <v>0</v>
      </c>
      <c r="F84" s="153">
        <f>ROUND((E$19-SUM(D$31:D83))*F$11*30/365,2)</f>
        <v>313.08</v>
      </c>
      <c r="G84" s="196">
        <f t="shared" si="1"/>
        <v>1967.0107179901208</v>
      </c>
      <c r="H84" s="196"/>
      <c r="I84" s="124"/>
      <c r="J84" s="124"/>
    </row>
    <row r="85" spans="1:10" x14ac:dyDescent="0.25">
      <c r="A85" s="59"/>
      <c r="B85" s="119">
        <v>55</v>
      </c>
      <c r="C85" s="122">
        <f t="shared" ca="1" si="0"/>
        <v>46154</v>
      </c>
      <c r="D85" s="151">
        <f>IF(B85&lt;$F$17,$F$20-E85-F85,IF(B85=$F$17,$E$19-SUM($D$30:D84),0))</f>
        <v>1728.6907179901209</v>
      </c>
      <c r="E85" s="152">
        <f>IF(B85&lt;=$F$17,(E$19*(VLOOKUP($H$2,Лист2!$A:$N,12,0)-(B85-1)*VLOOKUP($H$2,Лист2!$A:$N,13,0))),0)</f>
        <v>0</v>
      </c>
      <c r="F85" s="153">
        <f>ROUND((E$19-SUM(D$31:D84))*F$11*30/365,2)</f>
        <v>238.32</v>
      </c>
      <c r="G85" s="196">
        <f t="shared" si="1"/>
        <v>1967.0107179901208</v>
      </c>
      <c r="H85" s="196"/>
      <c r="I85" s="124"/>
      <c r="J85" s="124"/>
    </row>
    <row r="86" spans="1:10" x14ac:dyDescent="0.25">
      <c r="A86" s="59"/>
      <c r="B86" s="119">
        <v>56</v>
      </c>
      <c r="C86" s="122">
        <f t="shared" ca="1" si="0"/>
        <v>46185</v>
      </c>
      <c r="D86" s="151">
        <f>IF(B86&lt;$F$17,$F$20-E86-F86,IF(B86=$F$17,$E$19-SUM($D$30:D85),0))</f>
        <v>1806.8407179901208</v>
      </c>
      <c r="E86" s="152">
        <f>IF(B86&lt;=$F$17,(E$19*(VLOOKUP($H$2,Лист2!$A:$N,12,0)-(B86-1)*VLOOKUP($H$2,Лист2!$A:$N,13,0))),0)</f>
        <v>0</v>
      </c>
      <c r="F86" s="153">
        <f>ROUND((E$19-SUM(D$31:D85))*F$11*30/365,2)</f>
        <v>160.16999999999999</v>
      </c>
      <c r="G86" s="196">
        <f t="shared" si="1"/>
        <v>1967.0107179901208</v>
      </c>
      <c r="H86" s="196"/>
      <c r="I86" s="124"/>
      <c r="J86" s="124"/>
    </row>
    <row r="87" spans="1:10" x14ac:dyDescent="0.25">
      <c r="A87" s="59"/>
      <c r="B87" s="119">
        <v>57</v>
      </c>
      <c r="C87" s="122">
        <f t="shared" ca="1" si="0"/>
        <v>46215</v>
      </c>
      <c r="D87" s="151">
        <f>IF(B87&lt;$F$17,$F$20-E87-F87,IF(B87=$F$17,$E$19-SUM($D$30:D86),0))</f>
        <v>1888.5207179901208</v>
      </c>
      <c r="E87" s="152">
        <f>IF(B87&lt;=$F$17,(E$19*(VLOOKUP($H$2,Лист2!$A:$N,12,0)-(B87-1)*VLOOKUP($H$2,Лист2!$A:$N,13,0))),0)</f>
        <v>0</v>
      </c>
      <c r="F87" s="153">
        <f>ROUND((E$19-SUM(D$31:D86))*F$11*30/365,2)</f>
        <v>78.489999999999995</v>
      </c>
      <c r="G87" s="196">
        <f t="shared" si="1"/>
        <v>1967.0107179901208</v>
      </c>
      <c r="H87" s="196"/>
      <c r="I87" s="124"/>
      <c r="J87" s="124"/>
    </row>
    <row r="88" spans="1:10" x14ac:dyDescent="0.25">
      <c r="A88" s="59"/>
      <c r="B88" s="119">
        <v>58</v>
      </c>
      <c r="C88" s="122">
        <f t="shared" ca="1" si="0"/>
        <v>46246</v>
      </c>
      <c r="D88" s="151">
        <f>IF(B88&lt;$F$17,$F$20-E88-F88,IF(B88=$F$17,$E$19-SUM($D$30:D87),0))</f>
        <v>1973.8907179901209</v>
      </c>
      <c r="E88" s="152">
        <f>IF(B88&lt;=$F$17,(E$19*(VLOOKUP($H$2,Лист2!$A:$N,12,0)-(B88-1)*VLOOKUP($H$2,Лист2!$A:$N,13,0))),0)</f>
        <v>0</v>
      </c>
      <c r="F88" s="153">
        <f>ROUND((E$19-SUM(D$31:D87))*F$11*30/365,2)</f>
        <v>-6.88</v>
      </c>
      <c r="G88" s="196">
        <f t="shared" si="1"/>
        <v>1967.0107179901208</v>
      </c>
      <c r="H88" s="196"/>
      <c r="I88" s="124"/>
      <c r="J88" s="124"/>
    </row>
    <row r="89" spans="1:10" x14ac:dyDescent="0.25">
      <c r="A89" s="59"/>
      <c r="B89" s="119">
        <v>59</v>
      </c>
      <c r="C89" s="122">
        <f t="shared" ca="1" si="0"/>
        <v>46277</v>
      </c>
      <c r="D89" s="151">
        <f>IF(B89&lt;$F$17,$F$20-E89-F89,IF(B89=$F$17,$E$19-SUM($D$30:D88),0))</f>
        <v>2063.1207179901207</v>
      </c>
      <c r="E89" s="152">
        <f>IF(B89&lt;=$F$17,(E$19*(VLOOKUP($H$2,Лист2!$A:$N,12,0)-(B89-1)*VLOOKUP($H$2,Лист2!$A:$N,13,0))),0)</f>
        <v>0</v>
      </c>
      <c r="F89" s="153">
        <f>ROUND((E$19-SUM(D$31:D88))*F$11*30/365,2)</f>
        <v>-96.11</v>
      </c>
      <c r="G89" s="196">
        <f t="shared" si="1"/>
        <v>1967.0107179901208</v>
      </c>
      <c r="H89" s="196"/>
      <c r="I89" s="124"/>
      <c r="J89" s="124"/>
    </row>
    <row r="90" spans="1:10" ht="13.8" thickBot="1" x14ac:dyDescent="0.3">
      <c r="A90" s="59"/>
      <c r="B90" s="147">
        <v>60</v>
      </c>
      <c r="C90" s="148">
        <f t="shared" ca="1" si="0"/>
        <v>46307</v>
      </c>
      <c r="D90" s="154">
        <f>IF(B90&lt;$F$17,$F$20-E90-F90,IF(B90=$F$17,$E$19-SUM($D$30:D89),0))</f>
        <v>-4189.2323614171255</v>
      </c>
      <c r="E90" s="155">
        <f>IF(B90&lt;=$F$17,(E$19*(VLOOKUP($H$2,Лист2!$A:$N,12,0)-(B90-1)*VLOOKUP($H$2,Лист2!$A:$N,13,0))),0)</f>
        <v>0</v>
      </c>
      <c r="F90" s="156">
        <f>ROUND((E$19-SUM(D$31:D89))*F$11*30/365,2)</f>
        <v>-189.38</v>
      </c>
      <c r="G90" s="209">
        <f t="shared" si="1"/>
        <v>-4378.6123614171256</v>
      </c>
      <c r="H90" s="209"/>
      <c r="I90" s="124"/>
      <c r="J90" s="124"/>
    </row>
    <row r="91" spans="1:10" ht="16.2" thickBot="1" x14ac:dyDescent="0.3">
      <c r="A91" s="59"/>
      <c r="B91" s="204" t="s">
        <v>1</v>
      </c>
      <c r="C91" s="205"/>
      <c r="D91" s="158">
        <f>SUM(D31:D90)</f>
        <v>40000</v>
      </c>
      <c r="E91" s="158">
        <f>SUM(E31:E90)</f>
        <v>0</v>
      </c>
      <c r="F91" s="158">
        <f>SUM(F31:F90)</f>
        <v>71675.02</v>
      </c>
      <c r="G91" s="206">
        <f>SUM(G31:H90)</f>
        <v>111675.02000000015</v>
      </c>
      <c r="H91" s="207"/>
      <c r="I91" s="124"/>
      <c r="J91" s="124"/>
    </row>
    <row r="92" spans="1:10" x14ac:dyDescent="0.25">
      <c r="A92" s="59"/>
      <c r="B92" s="2"/>
      <c r="C92" s="2"/>
      <c r="D92" s="2"/>
      <c r="E92" s="2"/>
      <c r="F92" s="2"/>
      <c r="G92" s="46"/>
      <c r="I92" s="124"/>
      <c r="J92" s="124"/>
    </row>
    <row r="93" spans="1:10" x14ac:dyDescent="0.25">
      <c r="A93" s="59"/>
      <c r="B93" s="2"/>
      <c r="C93" s="33"/>
      <c r="D93" s="34"/>
      <c r="E93" s="208" t="s">
        <v>3</v>
      </c>
      <c r="F93" s="208"/>
      <c r="G93" s="208"/>
      <c r="I93" s="124"/>
      <c r="J93" s="124"/>
    </row>
    <row r="94" spans="1:10" x14ac:dyDescent="0.25">
      <c r="A94" s="59"/>
      <c r="B94" s="2"/>
      <c r="C94" s="35"/>
      <c r="D94" s="2"/>
      <c r="E94" s="36" t="s">
        <v>4</v>
      </c>
      <c r="F94" s="37"/>
      <c r="G94" s="50"/>
      <c r="I94" s="124"/>
      <c r="J94" s="124"/>
    </row>
    <row r="95" spans="1:10" x14ac:dyDescent="0.25">
      <c r="A95" s="59"/>
      <c r="B95" s="60"/>
      <c r="C95" s="60"/>
      <c r="D95" s="60"/>
      <c r="E95" s="60"/>
      <c r="F95" s="60"/>
      <c r="G95" s="125"/>
      <c r="H95" s="61"/>
      <c r="I95" s="124"/>
      <c r="J95" s="124"/>
    </row>
    <row r="96" spans="1:10" x14ac:dyDescent="0.25">
      <c r="A96" s="59"/>
      <c r="B96" s="60"/>
      <c r="C96" s="60"/>
      <c r="D96" s="60"/>
      <c r="E96" s="60"/>
      <c r="F96" s="60"/>
      <c r="G96" s="125"/>
      <c r="H96" s="61"/>
      <c r="I96" s="62"/>
    </row>
    <row r="97" spans="1:9" x14ac:dyDescent="0.25">
      <c r="A97" s="59"/>
      <c r="B97" s="60"/>
      <c r="C97" s="60"/>
      <c r="D97" s="60"/>
      <c r="E97" s="60"/>
      <c r="F97" s="60"/>
      <c r="G97" s="125"/>
      <c r="H97" s="61"/>
      <c r="I97" s="62"/>
    </row>
    <row r="98" spans="1:9" x14ac:dyDescent="0.25">
      <c r="A98" s="59"/>
      <c r="B98" s="60"/>
      <c r="C98" s="60"/>
      <c r="D98" s="60"/>
      <c r="E98" s="60"/>
      <c r="F98" s="60"/>
      <c r="G98" s="125"/>
      <c r="H98" s="61"/>
      <c r="I98" s="62"/>
    </row>
  </sheetData>
  <sheetProtection password="B631" sheet="1" objects="1" scenarios="1" selectLockedCells="1"/>
  <dataConsolidate/>
  <mergeCells count="88">
    <mergeCell ref="B91:C91"/>
    <mergeCell ref="G91:H91"/>
    <mergeCell ref="E93:G93"/>
    <mergeCell ref="G85:H85"/>
    <mergeCell ref="G86:H86"/>
    <mergeCell ref="G87:H87"/>
    <mergeCell ref="G88:H88"/>
    <mergeCell ref="G89:H89"/>
    <mergeCell ref="G90:H90"/>
    <mergeCell ref="G84:H84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72:H72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60:H60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48:H48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36:H36"/>
    <mergeCell ref="B24:E24"/>
    <mergeCell ref="G24:H24"/>
    <mergeCell ref="B26:E26"/>
    <mergeCell ref="B28:H28"/>
    <mergeCell ref="G29:H29"/>
    <mergeCell ref="G30:H30"/>
    <mergeCell ref="G31:H31"/>
    <mergeCell ref="G32:H32"/>
    <mergeCell ref="G33:H33"/>
    <mergeCell ref="G34:H34"/>
    <mergeCell ref="G35:H35"/>
    <mergeCell ref="B17:E17"/>
    <mergeCell ref="G17:H17"/>
    <mergeCell ref="B20:E20"/>
    <mergeCell ref="G20:H20"/>
    <mergeCell ref="B22:E22"/>
    <mergeCell ref="G22:H22"/>
    <mergeCell ref="B15:E15"/>
    <mergeCell ref="G15:H15"/>
    <mergeCell ref="H1:I1"/>
    <mergeCell ref="H2:I2"/>
    <mergeCell ref="F3:F4"/>
    <mergeCell ref="H3:I3"/>
    <mergeCell ref="B5:E5"/>
    <mergeCell ref="B7:E7"/>
    <mergeCell ref="B9:E9"/>
    <mergeCell ref="B11:E11"/>
    <mergeCell ref="G11:H11"/>
    <mergeCell ref="B13:E13"/>
    <mergeCell ref="G13:H13"/>
  </mergeCells>
  <dataValidations count="1">
    <dataValidation type="list" showInputMessage="1" showErrorMessage="1" sqref="H2:I2">
      <formula1>$K$13:$K$18</formula1>
    </dataValidation>
  </dataValidations>
  <pageMargins left="0.39370078740157483" right="0.35433070866141736" top="0.59055118110236227" bottom="0.59055118110236227" header="0.51181102362204722" footer="0.51181102362204722"/>
  <pageSetup paperSize="9" scale="66" firstPageNumber="2" orientation="portrait" verticalDpi="300" r:id="rId1"/>
  <headerFooter alignWithMargins="0"/>
  <rowBreaks count="1" manualBreakCount="1">
    <brk id="9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AC98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F5" sqref="F5"/>
    </sheetView>
  </sheetViews>
  <sheetFormatPr defaultColWidth="9.109375" defaultRowHeight="13.2" outlineLevelCol="1" x14ac:dyDescent="0.25"/>
  <cols>
    <col min="1" max="1" width="2.44140625" style="15" customWidth="1"/>
    <col min="2" max="2" width="9" style="4" customWidth="1"/>
    <col min="3" max="3" width="10.109375" style="4" customWidth="1"/>
    <col min="4" max="4" width="19.5546875" style="4" bestFit="1" customWidth="1"/>
    <col min="5" max="5" width="25.6640625" style="4" bestFit="1" customWidth="1"/>
    <col min="6" max="6" width="20.6640625" style="4" bestFit="1" customWidth="1"/>
    <col min="7" max="7" width="14.44140625" style="51" customWidth="1"/>
    <col min="8" max="8" width="11.44140625" style="45" customWidth="1"/>
    <col min="9" max="9" width="17.6640625" style="38" customWidth="1"/>
    <col min="10" max="10" width="0.109375" style="3" customWidth="1"/>
    <col min="11" max="12" width="9.109375" style="4" hidden="1" customWidth="1" outlineLevel="1"/>
    <col min="13" max="13" width="9.109375" style="113" collapsed="1"/>
    <col min="14" max="29" width="9.109375" style="113"/>
    <col min="30" max="16384" width="9.109375" style="4"/>
  </cols>
  <sheetData>
    <row r="1" spans="1:29" ht="19.8" customHeight="1" thickBot="1" x14ac:dyDescent="0.3">
      <c r="A1" s="59"/>
      <c r="B1" s="60"/>
      <c r="C1" s="60"/>
      <c r="D1" s="60"/>
      <c r="E1" s="116"/>
      <c r="F1" s="116"/>
      <c r="G1" s="105"/>
      <c r="H1" s="180" t="s">
        <v>40</v>
      </c>
      <c r="I1" s="180"/>
    </row>
    <row r="2" spans="1:29" s="43" customFormat="1" ht="12.75" customHeight="1" x14ac:dyDescent="0.25">
      <c r="A2" s="29"/>
      <c r="B2" s="117"/>
      <c r="C2" s="117"/>
      <c r="D2" s="117"/>
      <c r="E2" s="163">
        <f>VLOOKUP('Зустрічна пропозиція 200-500 '!H2,Лист2!A:N,14,FALSE)</f>
        <v>200000</v>
      </c>
      <c r="F2" s="118">
        <f>VLOOKUP(H$2,Лист2!$A:$G,2,0)</f>
        <v>500000</v>
      </c>
      <c r="G2" s="134">
        <f ca="1">TODAY()</f>
        <v>44481</v>
      </c>
      <c r="H2" s="181" t="s">
        <v>53</v>
      </c>
      <c r="I2" s="182"/>
      <c r="J2" s="52"/>
      <c r="M2" s="157"/>
      <c r="N2" s="157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43" customFormat="1" ht="13.5" customHeight="1" thickBot="1" x14ac:dyDescent="0.3">
      <c r="A3" s="29"/>
      <c r="B3" s="117"/>
      <c r="C3" s="117"/>
      <c r="D3" s="117"/>
      <c r="E3" s="162">
        <f>IF(F5&lt;E2,"x",IF(F5&gt;F2,"y",F5))+F7</f>
        <v>200000</v>
      </c>
      <c r="F3" s="183" t="str">
        <f>IF(E3="x","Збільшіть суму",IF(E3="y","Зменшіть суму",""))</f>
        <v/>
      </c>
      <c r="G3" s="67">
        <f>Назви!B33</f>
        <v>30.4</v>
      </c>
      <c r="H3" s="185" t="str">
        <f>VLOOKUP(H$2,Лист2!$A:$G,7,0)</f>
        <v>max. 500000 грн.</v>
      </c>
      <c r="I3" s="186"/>
      <c r="J3" s="5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43" customFormat="1" ht="9" customHeight="1" thickBot="1" x14ac:dyDescent="0.3">
      <c r="A4" s="29"/>
      <c r="B4" s="29"/>
      <c r="C4" s="29"/>
      <c r="D4" s="29"/>
      <c r="E4" s="127"/>
      <c r="F4" s="184"/>
      <c r="G4" s="44"/>
      <c r="H4" s="144"/>
      <c r="I4" s="52"/>
      <c r="J4" s="52"/>
      <c r="K4" s="6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21" customHeight="1" thickBot="1" x14ac:dyDescent="0.3">
      <c r="A5" s="6"/>
      <c r="B5" s="187" t="s">
        <v>42</v>
      </c>
      <c r="C5" s="188"/>
      <c r="D5" s="188"/>
      <c r="E5" s="189"/>
      <c r="F5" s="228">
        <v>200000</v>
      </c>
      <c r="G5" s="160" t="s">
        <v>23</v>
      </c>
      <c r="H5" s="161"/>
      <c r="I5" s="3"/>
      <c r="J5" s="53"/>
      <c r="K5" s="64"/>
    </row>
    <row r="6" spans="1:29" s="5" customFormat="1" ht="7.5" customHeight="1" thickBot="1" x14ac:dyDescent="0.3">
      <c r="A6" s="6"/>
      <c r="B6" s="7"/>
      <c r="C6" s="2"/>
      <c r="D6" s="7"/>
      <c r="E6" s="2"/>
      <c r="F6" s="8"/>
      <c r="G6" s="45"/>
      <c r="H6" s="46"/>
      <c r="I6" s="2"/>
      <c r="J6" s="54"/>
      <c r="K6" s="6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5" customFormat="1" ht="18" customHeight="1" thickBot="1" x14ac:dyDescent="0.3">
      <c r="A7" s="6"/>
      <c r="B7" s="187" t="s">
        <v>43</v>
      </c>
      <c r="C7" s="188"/>
      <c r="D7" s="188"/>
      <c r="E7" s="189"/>
      <c r="F7" s="159">
        <v>0</v>
      </c>
      <c r="G7" s="160" t="s">
        <v>23</v>
      </c>
      <c r="H7" s="46"/>
      <c r="I7" s="2"/>
      <c r="J7" s="54"/>
      <c r="K7" s="64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5" customFormat="1" ht="9" customHeight="1" x14ac:dyDescent="0.25">
      <c r="A8" s="6"/>
      <c r="B8" s="164"/>
      <c r="C8" s="2"/>
      <c r="D8" s="7"/>
      <c r="E8" s="2"/>
      <c r="F8" s="8"/>
      <c r="G8" s="45"/>
      <c r="H8" s="46"/>
      <c r="I8" s="2"/>
      <c r="J8" s="54"/>
      <c r="K8" s="6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s="5" customFormat="1" ht="13.8" customHeight="1" x14ac:dyDescent="0.25">
      <c r="A9" s="6"/>
      <c r="B9" s="176" t="s">
        <v>41</v>
      </c>
      <c r="C9" s="177"/>
      <c r="D9" s="177"/>
      <c r="E9" s="178"/>
      <c r="F9" s="17">
        <f>F5+F7+E18</f>
        <v>200000</v>
      </c>
      <c r="G9" s="45"/>
      <c r="H9" s="46"/>
      <c r="I9" s="2"/>
      <c r="J9" s="54"/>
      <c r="K9" s="64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1:29" s="5" customFormat="1" ht="7.5" customHeight="1" x14ac:dyDescent="0.25">
      <c r="A10" s="6"/>
      <c r="B10" s="7"/>
      <c r="C10" s="2"/>
      <c r="D10" s="7"/>
      <c r="E10" s="2"/>
      <c r="F10" s="8"/>
      <c r="G10" s="45"/>
      <c r="H10" s="46"/>
      <c r="I10" s="2"/>
      <c r="J10" s="54"/>
      <c r="K10" s="6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x14ac:dyDescent="0.25">
      <c r="A11" s="6"/>
      <c r="B11" s="176" t="str">
        <f>Назви!A3</f>
        <v>Процентна ставка, % річних</v>
      </c>
      <c r="C11" s="177">
        <f>Назви!B3</f>
        <v>0</v>
      </c>
      <c r="D11" s="177">
        <f>Назви!C3</f>
        <v>0</v>
      </c>
      <c r="E11" s="178">
        <f>Назви!D3</f>
        <v>0</v>
      </c>
      <c r="F11" s="39">
        <f>VLOOKUP(H$2,Лист2!$A:$G,4,0)</f>
        <v>0.55000000000000004</v>
      </c>
      <c r="G11" s="179"/>
      <c r="H11" s="179"/>
      <c r="I11" s="3"/>
      <c r="J11" s="53"/>
      <c r="K11" s="64"/>
    </row>
    <row r="12" spans="1:29" s="5" customFormat="1" ht="6.75" customHeight="1" x14ac:dyDescent="0.25">
      <c r="A12" s="6"/>
      <c r="B12" s="7"/>
      <c r="C12" s="2"/>
      <c r="D12" s="7"/>
      <c r="E12" s="2"/>
      <c r="F12" s="106">
        <v>1.0000000000000001E-5</v>
      </c>
      <c r="G12" s="45"/>
      <c r="H12" s="46"/>
      <c r="I12" s="2"/>
      <c r="J12" s="54"/>
      <c r="K12" s="64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ht="12.6" customHeight="1" x14ac:dyDescent="0.25">
      <c r="A13" s="6"/>
      <c r="B13" s="176" t="str">
        <f>Назви!A5</f>
        <v>Разовий страховий тариф, %</v>
      </c>
      <c r="C13" s="177">
        <f>Назви!B5</f>
        <v>0</v>
      </c>
      <c r="D13" s="177">
        <f>Назви!C5</f>
        <v>0</v>
      </c>
      <c r="E13" s="178">
        <f>Назви!D5</f>
        <v>0</v>
      </c>
      <c r="F13" s="39">
        <f>VLOOKUP(H$2,Лист2!$A:$G,5,0)</f>
        <v>0.12</v>
      </c>
      <c r="G13" s="179"/>
      <c r="H13" s="179"/>
      <c r="I13" s="3"/>
      <c r="J13" s="53"/>
      <c r="K13" s="131"/>
    </row>
    <row r="14" spans="1:29" s="5" customFormat="1" ht="6.6" customHeight="1" x14ac:dyDescent="0.25">
      <c r="A14" s="6"/>
      <c r="B14" s="7"/>
      <c r="C14" s="2"/>
      <c r="D14" s="7"/>
      <c r="E14" s="2"/>
      <c r="F14" s="47"/>
      <c r="G14" s="45"/>
      <c r="H14" s="46"/>
      <c r="I14" s="2"/>
      <c r="J14" s="54"/>
      <c r="K14" s="131" t="str">
        <f>Лист2!A11</f>
        <v>Зустрічна пропозиція 200-500, 36 міс.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x14ac:dyDescent="0.25">
      <c r="A15" s="6"/>
      <c r="B15" s="176" t="str">
        <f>Назви!A7</f>
        <v xml:space="preserve">Щомісячна плата за обслуговування кредитної заборгованості, % </v>
      </c>
      <c r="C15" s="177">
        <f>Назви!B7</f>
        <v>0</v>
      </c>
      <c r="D15" s="177">
        <f>Назви!C7</f>
        <v>0</v>
      </c>
      <c r="E15" s="178">
        <f>Назви!D7</f>
        <v>0</v>
      </c>
      <c r="F15" s="39">
        <f>VLOOKUP(H$2,Лист2!$A:$G,6,0)</f>
        <v>0</v>
      </c>
      <c r="G15" s="179"/>
      <c r="H15" s="179"/>
      <c r="I15" s="3"/>
      <c r="J15" s="53"/>
      <c r="K15" s="131" t="str">
        <f>Лист2!A12</f>
        <v>Зустрічна пропозиція 200-500, 24 міс.</v>
      </c>
    </row>
    <row r="16" spans="1:29" s="5" customFormat="1" ht="6.75" customHeight="1" x14ac:dyDescent="0.25">
      <c r="A16" s="6"/>
      <c r="B16" s="7"/>
      <c r="C16" s="2"/>
      <c r="D16" s="7"/>
      <c r="E16" s="2"/>
      <c r="F16" s="12"/>
      <c r="G16" s="45"/>
      <c r="H16" s="46"/>
      <c r="I16" s="2"/>
      <c r="J16" s="54"/>
      <c r="K16" s="131" t="str">
        <f>Лист2!A13</f>
        <v>Зустрічна пропозиція 200-500, 18 міс.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</row>
    <row r="17" spans="1:29" x14ac:dyDescent="0.25">
      <c r="A17" s="6"/>
      <c r="B17" s="176" t="str">
        <f>Назви!A9</f>
        <v>Термін кредитування (міс.)</v>
      </c>
      <c r="C17" s="177">
        <f>Назви!B9</f>
        <v>0</v>
      </c>
      <c r="D17" s="177">
        <f>Назви!C9</f>
        <v>0</v>
      </c>
      <c r="E17" s="178">
        <f>Назви!D9</f>
        <v>0</v>
      </c>
      <c r="F17" s="63">
        <f>VLOOKUP(H$2,Лист2!$A:$G,3,0)</f>
        <v>36</v>
      </c>
      <c r="G17" s="179"/>
      <c r="H17" s="179"/>
      <c r="I17" s="3"/>
      <c r="J17" s="53"/>
      <c r="K17" s="131" t="str">
        <f>Лист2!A14</f>
        <v>Зустрічна пропозиція 200-500, 12 міс.</v>
      </c>
    </row>
    <row r="18" spans="1:29" s="15" customFormat="1" ht="7.8" customHeight="1" x14ac:dyDescent="0.25">
      <c r="A18" s="6"/>
      <c r="B18" s="13"/>
      <c r="C18" s="58"/>
      <c r="D18" s="110"/>
      <c r="E18" s="132">
        <f>F7*F13</f>
        <v>0</v>
      </c>
      <c r="F18" s="117"/>
      <c r="G18" s="112"/>
      <c r="H18" s="14"/>
      <c r="I18" s="1"/>
      <c r="J18" s="54"/>
      <c r="K18" s="131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5" customFormat="1" ht="11.25" customHeight="1" x14ac:dyDescent="0.25">
      <c r="A19" s="6"/>
      <c r="B19" s="13"/>
      <c r="C19" s="58"/>
      <c r="D19" s="110"/>
      <c r="E19" s="133">
        <f>E18+E3</f>
        <v>200000</v>
      </c>
      <c r="F19" s="117"/>
      <c r="G19" s="112"/>
      <c r="H19" s="16"/>
      <c r="I19" s="1"/>
      <c r="J19" s="116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s="15" customFormat="1" x14ac:dyDescent="0.25">
      <c r="A20" s="6"/>
      <c r="B20" s="190" t="str">
        <f>Назви!A12</f>
        <v>Орієнтовний платіж, грн.</v>
      </c>
      <c r="C20" s="191">
        <f>Назви!B12</f>
        <v>0</v>
      </c>
      <c r="D20" s="191">
        <f>Назви!C12</f>
        <v>0</v>
      </c>
      <c r="E20" s="192">
        <f>Назви!D12</f>
        <v>0</v>
      </c>
      <c r="F20" s="17">
        <f>PMT(F11/12,F17,-E19)+F15*E19</f>
        <v>11447.28901719325</v>
      </c>
      <c r="G20" s="193"/>
      <c r="H20" s="194"/>
      <c r="I20" s="123"/>
      <c r="J20" s="54"/>
      <c r="K20" s="131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s="15" customFormat="1" ht="7.2" customHeight="1" x14ac:dyDescent="0.25">
      <c r="A21" s="6"/>
      <c r="B21" s="19"/>
      <c r="C21" s="19"/>
      <c r="D21" s="19"/>
      <c r="E21" s="19"/>
      <c r="F21" s="20"/>
      <c r="G21" s="21"/>
      <c r="H21" s="22"/>
      <c r="I21" s="1"/>
      <c r="J21" s="55"/>
      <c r="K21" s="131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15" customFormat="1" x14ac:dyDescent="0.25">
      <c r="A22" s="6"/>
      <c r="B22" s="190" t="str">
        <f>Назви!A14</f>
        <v>Орієнтовні загальні витрати за кредитом, грн.</v>
      </c>
      <c r="C22" s="191">
        <f>Назви!B14</f>
        <v>0</v>
      </c>
      <c r="D22" s="191">
        <f>Назви!C14</f>
        <v>0</v>
      </c>
      <c r="E22" s="192">
        <f>Назви!D14</f>
        <v>0</v>
      </c>
      <c r="F22" s="17">
        <f>G91-E3</f>
        <v>203873.56</v>
      </c>
      <c r="G22" s="195"/>
      <c r="H22" s="195"/>
      <c r="I22" s="1"/>
      <c r="J22" s="55"/>
      <c r="K22" s="131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s="15" customFormat="1" ht="7.2" customHeight="1" x14ac:dyDescent="0.25">
      <c r="A23" s="6"/>
      <c r="B23" s="23"/>
      <c r="C23" s="23"/>
      <c r="D23" s="23"/>
      <c r="E23" s="23"/>
      <c r="F23" s="24"/>
      <c r="G23" s="21"/>
      <c r="H23" s="22"/>
      <c r="I23" s="1"/>
      <c r="J23" s="55"/>
      <c r="K23" s="131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s="15" customFormat="1" x14ac:dyDescent="0.25">
      <c r="A24" s="6"/>
      <c r="B24" s="190" t="str">
        <f>Назви!A16</f>
        <v>Орієнтовна загальна вартість кредиту, грн.</v>
      </c>
      <c r="C24" s="191">
        <f>Назви!B16</f>
        <v>0</v>
      </c>
      <c r="D24" s="191">
        <f>Назви!C16</f>
        <v>0</v>
      </c>
      <c r="E24" s="192">
        <f>Назви!D16</f>
        <v>0</v>
      </c>
      <c r="F24" s="17">
        <f>E3+F22</f>
        <v>403873.56</v>
      </c>
      <c r="G24" s="179"/>
      <c r="H24" s="179"/>
      <c r="I24" s="1"/>
      <c r="J24" s="55"/>
      <c r="K24" s="131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15" customFormat="1" ht="7.2" customHeight="1" x14ac:dyDescent="0.25">
      <c r="A25" s="6"/>
      <c r="B25" s="19"/>
      <c r="C25" s="19"/>
      <c r="D25" s="19"/>
      <c r="E25" s="19"/>
      <c r="F25" s="26"/>
      <c r="G25" s="21"/>
      <c r="H25" s="22"/>
      <c r="I25" s="1"/>
      <c r="J25" s="1"/>
      <c r="K25" s="131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s="15" customFormat="1" x14ac:dyDescent="0.25">
      <c r="A26" s="6"/>
      <c r="B26" s="190" t="str">
        <f>Назви!A18</f>
        <v>Орієнтовна реальна річна процентна ставка, %</v>
      </c>
      <c r="C26" s="191"/>
      <c r="D26" s="191"/>
      <c r="E26" s="192"/>
      <c r="F26" s="39">
        <f ca="1">XIRR(G30:G90,C30:C90)</f>
        <v>0.69967690706253061</v>
      </c>
      <c r="G26" s="143"/>
      <c r="H26" s="22"/>
      <c r="I26" s="1"/>
      <c r="J26" s="1"/>
      <c r="K26" s="131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</row>
    <row r="27" spans="1:29" s="15" customFormat="1" ht="13.8" thickBot="1" x14ac:dyDescent="0.3">
      <c r="A27" s="6"/>
      <c r="B27" s="30"/>
      <c r="C27" s="19"/>
      <c r="D27" s="121"/>
      <c r="E27" s="31"/>
      <c r="F27" s="32"/>
      <c r="G27" s="22"/>
      <c r="H27" s="21"/>
      <c r="I27" s="1"/>
      <c r="J27" s="1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9" ht="18" thickBot="1" x14ac:dyDescent="0.3">
      <c r="A28" s="1"/>
      <c r="B28" s="197" t="str">
        <f>Назви!A27</f>
        <v>Орієнтовний порядок повернення кредиту</v>
      </c>
      <c r="C28" s="198"/>
      <c r="D28" s="198"/>
      <c r="E28" s="198"/>
      <c r="F28" s="198"/>
      <c r="G28" s="198"/>
      <c r="H28" s="199"/>
      <c r="I28" s="3"/>
      <c r="K28" s="131"/>
    </row>
    <row r="29" spans="1:29" ht="31.2" customHeight="1" thickBot="1" x14ac:dyDescent="0.3">
      <c r="A29" s="1"/>
      <c r="B29" s="141" t="s">
        <v>39</v>
      </c>
      <c r="C29" s="141" t="str">
        <f>Назви!A28</f>
        <v>Місяць</v>
      </c>
      <c r="D29" s="111" t="str">
        <f>Назви!C28</f>
        <v>Погашення суми кредиту, грн.</v>
      </c>
      <c r="E29" s="111" t="str">
        <f>Назви!D28</f>
        <v>Розмір щомісячної плати за обслуговування кредитної заборгованості, грн.</v>
      </c>
      <c r="F29" s="111" t="str">
        <f>Назви!E28</f>
        <v>Проценти за користування кредитом, грн.</v>
      </c>
      <c r="G29" s="200" t="str">
        <f>Назви!F28</f>
        <v>Сума платежу за розрахунковий період, грн.</v>
      </c>
      <c r="H29" s="201"/>
      <c r="I29" s="3"/>
      <c r="K29" s="131"/>
    </row>
    <row r="30" spans="1:29" ht="12.6" hidden="1" customHeight="1" thickBot="1" x14ac:dyDescent="0.3">
      <c r="A30" s="1"/>
      <c r="B30" s="107">
        <v>0</v>
      </c>
      <c r="C30" s="142">
        <f ca="1">TODAY()</f>
        <v>44481</v>
      </c>
      <c r="D30" s="108"/>
      <c r="E30" s="109"/>
      <c r="F30" s="108"/>
      <c r="G30" s="202">
        <f>-1*E3</f>
        <v>-200000</v>
      </c>
      <c r="H30" s="203"/>
      <c r="I30" s="3"/>
      <c r="K30" s="131"/>
    </row>
    <row r="31" spans="1:29" x14ac:dyDescent="0.25">
      <c r="A31" s="1">
        <v>1</v>
      </c>
      <c r="B31" s="120">
        <v>1</v>
      </c>
      <c r="C31" s="126">
        <f ca="1">DATE(YEAR(C30),MONTH(C30)+1,DAY(C30))</f>
        <v>44512</v>
      </c>
      <c r="D31" s="149">
        <f>IF(B31&lt;$F$17,$F$20-E31-F31,IF(B31=$F$17,$E$19-SUM($D$30:D30),0))</f>
        <v>2406.18901719325</v>
      </c>
      <c r="E31" s="150">
        <f>IF(B31&lt;=$F$17,(E$19*(VLOOKUP($H$2,Лист2!$A:$N,12,0)-(B31-1)*VLOOKUP($H$2,Лист2!$A:$N,13,0))),0)</f>
        <v>0</v>
      </c>
      <c r="F31" s="150">
        <f>ROUND(E$19*F$11*30/365,2)</f>
        <v>9041.1</v>
      </c>
      <c r="G31" s="196">
        <f>SUM(D31:F31)</f>
        <v>11447.28901719325</v>
      </c>
      <c r="H31" s="196"/>
      <c r="I31" s="3"/>
      <c r="K31" s="131"/>
    </row>
    <row r="32" spans="1:29" x14ac:dyDescent="0.25">
      <c r="A32" s="1">
        <v>2</v>
      </c>
      <c r="B32" s="119">
        <v>2</v>
      </c>
      <c r="C32" s="122">
        <f t="shared" ref="C32:C90" ca="1" si="0">DATE(YEAR(C31),MONTH(C31)+1,DAY(C31))</f>
        <v>44542</v>
      </c>
      <c r="D32" s="151">
        <f>IF(B32&lt;$F$17,$F$20-E32-F32,IF(B32=$F$17,$E$19-SUM($D$30:D31),0))</f>
        <v>2514.9690171932507</v>
      </c>
      <c r="E32" s="152">
        <f>IF(B32&lt;=$F$17,(E$19*(VLOOKUP($H$2,Лист2!$A:$N,12,0)-(B32-1)*VLOOKUP($H$2,Лист2!$A:$N,13,0))),0)</f>
        <v>0</v>
      </c>
      <c r="F32" s="153">
        <f>ROUND((E$19-SUM(D$31:D31))*F$11*30/365,2)</f>
        <v>8932.32</v>
      </c>
      <c r="G32" s="196">
        <f t="shared" ref="G32:G90" si="1">SUM(D32:F32)</f>
        <v>11447.28901719325</v>
      </c>
      <c r="H32" s="196"/>
      <c r="I32" s="3"/>
      <c r="K32" s="131"/>
    </row>
    <row r="33" spans="1:11" x14ac:dyDescent="0.25">
      <c r="A33" s="1">
        <v>3</v>
      </c>
      <c r="B33" s="119">
        <v>3</v>
      </c>
      <c r="C33" s="122">
        <f t="shared" ca="1" si="0"/>
        <v>44573</v>
      </c>
      <c r="D33" s="151">
        <f>IF(B33&lt;$F$17,$F$20-E33-F33,IF(B33=$F$17,$E$19-SUM($D$30:D32),0))</f>
        <v>2628.6590171932512</v>
      </c>
      <c r="E33" s="152">
        <f>IF(B33&lt;=$F$17,(E$19*(VLOOKUP($H$2,Лист2!$A:$N,12,0)-(B33-1)*VLOOKUP($H$2,Лист2!$A:$N,13,0))),0)</f>
        <v>0</v>
      </c>
      <c r="F33" s="153">
        <f>ROUND((E$19-SUM(D$31:D32))*F$11*30/365,2)</f>
        <v>8818.6299999999992</v>
      </c>
      <c r="G33" s="196">
        <f t="shared" si="1"/>
        <v>11447.28901719325</v>
      </c>
      <c r="H33" s="196"/>
      <c r="I33" s="3"/>
      <c r="K33" s="131"/>
    </row>
    <row r="34" spans="1:11" x14ac:dyDescent="0.25">
      <c r="A34" s="1">
        <v>4</v>
      </c>
      <c r="B34" s="119">
        <v>4</v>
      </c>
      <c r="C34" s="122">
        <f t="shared" ca="1" si="0"/>
        <v>44604</v>
      </c>
      <c r="D34" s="151">
        <f>IF(B34&lt;$F$17,$F$20-E34-F34,IF(B34=$F$17,$E$19-SUM($D$30:D33),0))</f>
        <v>2747.4890171932511</v>
      </c>
      <c r="E34" s="152">
        <f>IF(B34&lt;=$F$17,(E$19*(VLOOKUP($H$2,Лист2!$A:$N,12,0)-(B34-1)*VLOOKUP($H$2,Лист2!$A:$N,13,0))),0)</f>
        <v>0</v>
      </c>
      <c r="F34" s="153">
        <f>ROUND((E$19-SUM(D$31:D33))*F$11*30/365,2)</f>
        <v>8699.7999999999993</v>
      </c>
      <c r="G34" s="196">
        <f t="shared" si="1"/>
        <v>11447.28901719325</v>
      </c>
      <c r="H34" s="196"/>
      <c r="I34" s="3"/>
      <c r="K34" s="131"/>
    </row>
    <row r="35" spans="1:11" x14ac:dyDescent="0.25">
      <c r="A35" s="1">
        <v>5</v>
      </c>
      <c r="B35" s="119">
        <v>5</v>
      </c>
      <c r="C35" s="122">
        <f t="shared" ca="1" si="0"/>
        <v>44632</v>
      </c>
      <c r="D35" s="151">
        <f>IF(B35&lt;$F$17,$F$20-E35-F35,IF(B35=$F$17,$E$19-SUM($D$30:D34),0))</f>
        <v>2871.68901719325</v>
      </c>
      <c r="E35" s="152">
        <f>IF(B35&lt;=$F$17,(E$19*(VLOOKUP($H$2,Лист2!$A:$N,12,0)-(B35-1)*VLOOKUP($H$2,Лист2!$A:$N,13,0))),0)</f>
        <v>0</v>
      </c>
      <c r="F35" s="153">
        <f>ROUND((E$19-SUM(D$31:D34))*F$11*30/365,2)</f>
        <v>8575.6</v>
      </c>
      <c r="G35" s="196">
        <f t="shared" si="1"/>
        <v>11447.28901719325</v>
      </c>
      <c r="H35" s="196"/>
      <c r="I35" s="3"/>
      <c r="K35" s="131"/>
    </row>
    <row r="36" spans="1:11" x14ac:dyDescent="0.25">
      <c r="A36" s="1">
        <v>6</v>
      </c>
      <c r="B36" s="119">
        <v>6</v>
      </c>
      <c r="C36" s="122">
        <f t="shared" ca="1" si="0"/>
        <v>44663</v>
      </c>
      <c r="D36" s="151">
        <f>IF(B36&lt;$F$17,$F$20-E36-F36,IF(B36=$F$17,$E$19-SUM($D$30:D35),0))</f>
        <v>3001.4990171932495</v>
      </c>
      <c r="E36" s="152">
        <f>IF(B36&lt;=$F$17,(E$19*(VLOOKUP($H$2,Лист2!$A:$N,12,0)-(B36-1)*VLOOKUP($H$2,Лист2!$A:$N,13,0))),0)</f>
        <v>0</v>
      </c>
      <c r="F36" s="153">
        <f>ROUND((E$19-SUM(D$31:D35))*F$11*30/365,2)</f>
        <v>8445.7900000000009</v>
      </c>
      <c r="G36" s="196">
        <f t="shared" si="1"/>
        <v>11447.28901719325</v>
      </c>
      <c r="H36" s="196"/>
      <c r="I36" s="3"/>
      <c r="K36" s="131"/>
    </row>
    <row r="37" spans="1:11" x14ac:dyDescent="0.25">
      <c r="A37" s="1">
        <v>7</v>
      </c>
      <c r="B37" s="119">
        <v>7</v>
      </c>
      <c r="C37" s="122">
        <f t="shared" ca="1" si="0"/>
        <v>44693</v>
      </c>
      <c r="D37" s="151">
        <f>IF(B37&lt;$F$17,$F$20-E37-F37,IF(B37=$F$17,$E$19-SUM($D$30:D36),0))</f>
        <v>3137.18901719325</v>
      </c>
      <c r="E37" s="152">
        <f>IF(B37&lt;=$F$17,(E$19*(VLOOKUP($H$2,Лист2!$A:$N,12,0)-(B37-1)*VLOOKUP($H$2,Лист2!$A:$N,13,0))),0)</f>
        <v>0</v>
      </c>
      <c r="F37" s="153">
        <f>ROUND((E$19-SUM(D$31:D36))*F$11*30/365,2)</f>
        <v>8310.1</v>
      </c>
      <c r="G37" s="196">
        <f t="shared" si="1"/>
        <v>11447.28901719325</v>
      </c>
      <c r="H37" s="196"/>
      <c r="I37" s="3"/>
      <c r="K37" s="131"/>
    </row>
    <row r="38" spans="1:11" x14ac:dyDescent="0.25">
      <c r="A38" s="1">
        <v>8</v>
      </c>
      <c r="B38" s="119">
        <v>8</v>
      </c>
      <c r="C38" s="122">
        <f t="shared" ca="1" si="0"/>
        <v>44724</v>
      </c>
      <c r="D38" s="151">
        <f>IF(B38&lt;$F$17,$F$20-E38-F38,IF(B38=$F$17,$E$19-SUM($D$30:D37),0))</f>
        <v>3279.0090171932507</v>
      </c>
      <c r="E38" s="152">
        <f>IF(B38&lt;=$F$17,(E$19*(VLOOKUP($H$2,Лист2!$A:$N,12,0)-(B38-1)*VLOOKUP($H$2,Лист2!$A:$N,13,0))),0)</f>
        <v>0</v>
      </c>
      <c r="F38" s="153">
        <f>ROUND((E$19-SUM(D$31:D37))*F$11*30/365,2)</f>
        <v>8168.28</v>
      </c>
      <c r="G38" s="196">
        <f t="shared" si="1"/>
        <v>11447.28901719325</v>
      </c>
      <c r="H38" s="196"/>
      <c r="I38" s="3"/>
      <c r="K38" s="131"/>
    </row>
    <row r="39" spans="1:11" x14ac:dyDescent="0.25">
      <c r="A39" s="1">
        <v>9</v>
      </c>
      <c r="B39" s="119">
        <v>9</v>
      </c>
      <c r="C39" s="122">
        <f t="shared" ca="1" si="0"/>
        <v>44754</v>
      </c>
      <c r="D39" s="151">
        <f>IF(B39&lt;$F$17,$F$20-E39-F39,IF(B39=$F$17,$E$19-SUM($D$30:D38),0))</f>
        <v>3427.2390171932502</v>
      </c>
      <c r="E39" s="152">
        <f>IF(B39&lt;=$F$17,(E$19*(VLOOKUP($H$2,Лист2!$A:$N,12,0)-(B39-1)*VLOOKUP($H$2,Лист2!$A:$N,13,0))),0)</f>
        <v>0</v>
      </c>
      <c r="F39" s="153">
        <f>ROUND((E$19-SUM(D$31:D38))*F$11*30/365,2)</f>
        <v>8020.05</v>
      </c>
      <c r="G39" s="196">
        <f t="shared" si="1"/>
        <v>11447.28901719325</v>
      </c>
      <c r="H39" s="196"/>
      <c r="I39" s="3"/>
      <c r="K39" s="131"/>
    </row>
    <row r="40" spans="1:11" x14ac:dyDescent="0.25">
      <c r="A40" s="1">
        <v>10</v>
      </c>
      <c r="B40" s="119">
        <v>10</v>
      </c>
      <c r="C40" s="122">
        <f t="shared" ca="1" si="0"/>
        <v>44785</v>
      </c>
      <c r="D40" s="151">
        <f>IF(B40&lt;$F$17,$F$20-E40-F40,IF(B40=$F$17,$E$19-SUM($D$30:D39),0))</f>
        <v>3582.1690171932505</v>
      </c>
      <c r="E40" s="152">
        <f>IF(B40&lt;=$F$17,(E$19*(VLOOKUP($H$2,Лист2!$A:$N,12,0)-(B40-1)*VLOOKUP($H$2,Лист2!$A:$N,13,0))),0)</f>
        <v>0</v>
      </c>
      <c r="F40" s="153">
        <f>ROUND((E$19-SUM(D$31:D39))*F$11*30/365,2)</f>
        <v>7865.12</v>
      </c>
      <c r="G40" s="196">
        <f t="shared" si="1"/>
        <v>11447.28901719325</v>
      </c>
      <c r="H40" s="196"/>
      <c r="I40" s="3"/>
      <c r="K40" s="131"/>
    </row>
    <row r="41" spans="1:11" x14ac:dyDescent="0.25">
      <c r="A41" s="1">
        <v>22</v>
      </c>
      <c r="B41" s="119">
        <v>11</v>
      </c>
      <c r="C41" s="122">
        <f t="shared" ca="1" si="0"/>
        <v>44816</v>
      </c>
      <c r="D41" s="151">
        <f>IF(B41&lt;$F$17,$F$20-E41-F41,IF(B41=$F$17,$E$19-SUM($D$30:D40),0))</f>
        <v>3744.0990171932508</v>
      </c>
      <c r="E41" s="152">
        <f>IF(B41&lt;=$F$17,(E$19*(VLOOKUP($H$2,Лист2!$A:$N,12,0)-(B41-1)*VLOOKUP($H$2,Лист2!$A:$N,13,0))),0)</f>
        <v>0</v>
      </c>
      <c r="F41" s="153">
        <f>ROUND((E$19-SUM(D$31:D40))*F$11*30/365,2)</f>
        <v>7703.19</v>
      </c>
      <c r="G41" s="196">
        <f t="shared" si="1"/>
        <v>11447.28901719325</v>
      </c>
      <c r="H41" s="196"/>
      <c r="I41" s="3"/>
      <c r="K41" s="131"/>
    </row>
    <row r="42" spans="1:11" x14ac:dyDescent="0.25">
      <c r="A42" s="1">
        <v>22</v>
      </c>
      <c r="B42" s="119">
        <v>12</v>
      </c>
      <c r="C42" s="122">
        <f t="shared" ca="1" si="0"/>
        <v>44846</v>
      </c>
      <c r="D42" s="151">
        <f>IF(B42&lt;$F$17,$F$20-E42-F42,IF(B42=$F$17,$E$19-SUM($D$30:D41),0))</f>
        <v>3913.3490171932508</v>
      </c>
      <c r="E42" s="152">
        <f>IF(B42&lt;=$F$17,(E$19*(VLOOKUP($H$2,Лист2!$A:$N,12,0)-(B42-1)*VLOOKUP($H$2,Лист2!$A:$N,13,0))),0)</f>
        <v>0</v>
      </c>
      <c r="F42" s="153">
        <f>ROUND((E$19-SUM(D$31:D41))*F$11*30/365,2)</f>
        <v>7533.94</v>
      </c>
      <c r="G42" s="196">
        <f t="shared" si="1"/>
        <v>11447.28901719325</v>
      </c>
      <c r="H42" s="196"/>
      <c r="I42" s="3"/>
      <c r="K42" s="131"/>
    </row>
    <row r="43" spans="1:11" x14ac:dyDescent="0.25">
      <c r="A43" s="1">
        <v>13</v>
      </c>
      <c r="B43" s="119">
        <v>13</v>
      </c>
      <c r="C43" s="122">
        <f t="shared" ca="1" si="0"/>
        <v>44877</v>
      </c>
      <c r="D43" s="151">
        <f>IF(B43&lt;$F$17,$F$20-E43-F43,IF(B43=$F$17,$E$19-SUM($D$30:D42),0))</f>
        <v>4090.2590171932507</v>
      </c>
      <c r="E43" s="152">
        <f>IF(B43&lt;=$F$17,(E$19*(VLOOKUP($H$2,Лист2!$A:$N,12,0)-(B43-1)*VLOOKUP($H$2,Лист2!$A:$N,13,0))),0)</f>
        <v>0</v>
      </c>
      <c r="F43" s="153">
        <f>ROUND((E$19-SUM(D$31:D42))*F$11*30/365,2)</f>
        <v>7357.03</v>
      </c>
      <c r="G43" s="196">
        <f t="shared" si="1"/>
        <v>11447.28901719325</v>
      </c>
      <c r="H43" s="196"/>
      <c r="I43" s="3"/>
      <c r="K43" s="131"/>
    </row>
    <row r="44" spans="1:11" x14ac:dyDescent="0.25">
      <c r="A44" s="1">
        <v>14</v>
      </c>
      <c r="B44" s="119">
        <v>14</v>
      </c>
      <c r="C44" s="122">
        <f t="shared" ca="1" si="0"/>
        <v>44907</v>
      </c>
      <c r="D44" s="151">
        <f>IF(B44&lt;$F$17,$F$20-E44-F44,IF(B44=$F$17,$E$19-SUM($D$30:D43),0))</f>
        <v>4275.1590171932503</v>
      </c>
      <c r="E44" s="152">
        <f>IF(B44&lt;=$F$17,(E$19*(VLOOKUP($H$2,Лист2!$A:$N,12,0)-(B44-1)*VLOOKUP($H$2,Лист2!$A:$N,13,0))),0)</f>
        <v>0</v>
      </c>
      <c r="F44" s="153">
        <f>ROUND((E$19-SUM(D$31:D43))*F$11*30/365,2)</f>
        <v>7172.13</v>
      </c>
      <c r="G44" s="196">
        <f t="shared" si="1"/>
        <v>11447.28901719325</v>
      </c>
      <c r="H44" s="196"/>
      <c r="I44" s="3"/>
      <c r="K44" s="131"/>
    </row>
    <row r="45" spans="1:11" x14ac:dyDescent="0.25">
      <c r="A45" s="1">
        <v>15</v>
      </c>
      <c r="B45" s="119">
        <v>15</v>
      </c>
      <c r="C45" s="122">
        <f t="shared" ca="1" si="0"/>
        <v>44938</v>
      </c>
      <c r="D45" s="151">
        <f>IF(B45&lt;$F$17,$F$20-E45-F45,IF(B45=$F$17,$E$19-SUM($D$30:D44),0))</f>
        <v>4468.4190171932505</v>
      </c>
      <c r="E45" s="152">
        <f>IF(B45&lt;=$F$17,(E$19*(VLOOKUP($H$2,Лист2!$A:$N,12,0)-(B45-1)*VLOOKUP($H$2,Лист2!$A:$N,13,0))),0)</f>
        <v>0</v>
      </c>
      <c r="F45" s="153">
        <f>ROUND((E$19-SUM(D$31:D44))*F$11*30/365,2)</f>
        <v>6978.87</v>
      </c>
      <c r="G45" s="196">
        <f t="shared" si="1"/>
        <v>11447.28901719325</v>
      </c>
      <c r="H45" s="196"/>
      <c r="I45" s="3"/>
      <c r="K45" s="131"/>
    </row>
    <row r="46" spans="1:11" x14ac:dyDescent="0.25">
      <c r="A46" s="1">
        <v>16</v>
      </c>
      <c r="B46" s="119">
        <v>16</v>
      </c>
      <c r="C46" s="122">
        <f t="shared" ca="1" si="0"/>
        <v>44969</v>
      </c>
      <c r="D46" s="151">
        <f>IF(B46&lt;$F$17,$F$20-E46-F46,IF(B46=$F$17,$E$19-SUM($D$30:D45),0))</f>
        <v>4670.4190171932505</v>
      </c>
      <c r="E46" s="152">
        <f>IF(B46&lt;=$F$17,(E$19*(VLOOKUP($H$2,Лист2!$A:$N,12,0)-(B46-1)*VLOOKUP($H$2,Лист2!$A:$N,13,0))),0)</f>
        <v>0</v>
      </c>
      <c r="F46" s="153">
        <f>ROUND((E$19-SUM(D$31:D45))*F$11*30/365,2)</f>
        <v>6776.87</v>
      </c>
      <c r="G46" s="196">
        <f t="shared" si="1"/>
        <v>11447.28901719325</v>
      </c>
      <c r="H46" s="196"/>
      <c r="I46" s="3"/>
      <c r="K46" s="131"/>
    </row>
    <row r="47" spans="1:11" x14ac:dyDescent="0.25">
      <c r="A47" s="1">
        <v>22</v>
      </c>
      <c r="B47" s="119">
        <v>17</v>
      </c>
      <c r="C47" s="122">
        <f t="shared" ca="1" si="0"/>
        <v>44997</v>
      </c>
      <c r="D47" s="151">
        <f>IF(B47&lt;$F$17,$F$20-E47-F47,IF(B47=$F$17,$E$19-SUM($D$30:D46),0))</f>
        <v>4881.5490171932506</v>
      </c>
      <c r="E47" s="152">
        <f>IF(B47&lt;=$F$17,(E$19*(VLOOKUP($H$2,Лист2!$A:$N,12,0)-(B47-1)*VLOOKUP($H$2,Лист2!$A:$N,13,0))),0)</f>
        <v>0</v>
      </c>
      <c r="F47" s="153">
        <f>ROUND((E$19-SUM(D$31:D46))*F$11*30/365,2)</f>
        <v>6565.74</v>
      </c>
      <c r="G47" s="196">
        <f t="shared" si="1"/>
        <v>11447.28901719325</v>
      </c>
      <c r="H47" s="196"/>
      <c r="I47" s="3"/>
      <c r="K47" s="131"/>
    </row>
    <row r="48" spans="1:11" x14ac:dyDescent="0.25">
      <c r="A48" s="1">
        <v>22</v>
      </c>
      <c r="B48" s="119">
        <v>18</v>
      </c>
      <c r="C48" s="122">
        <f t="shared" ca="1" si="0"/>
        <v>45028</v>
      </c>
      <c r="D48" s="151">
        <f>IF(B48&lt;$F$17,$F$20-E48-F48,IF(B48=$F$17,$E$19-SUM($D$30:D47),0))</f>
        <v>5102.2190171932507</v>
      </c>
      <c r="E48" s="152">
        <f>IF(B48&lt;=$F$17,(E$19*(VLOOKUP($H$2,Лист2!$A:$N,12,0)-(B48-1)*VLOOKUP($H$2,Лист2!$A:$N,13,0))),0)</f>
        <v>0</v>
      </c>
      <c r="F48" s="153">
        <f>ROUND((E$19-SUM(D$31:D47))*F$11*30/365,2)</f>
        <v>6345.07</v>
      </c>
      <c r="G48" s="196">
        <f t="shared" si="1"/>
        <v>11447.28901719325</v>
      </c>
      <c r="H48" s="196"/>
      <c r="I48" s="3"/>
      <c r="K48" s="131"/>
    </row>
    <row r="49" spans="1:11" x14ac:dyDescent="0.25">
      <c r="A49" s="1">
        <v>19</v>
      </c>
      <c r="B49" s="119">
        <v>19</v>
      </c>
      <c r="C49" s="122">
        <f t="shared" ca="1" si="0"/>
        <v>45058</v>
      </c>
      <c r="D49" s="151">
        <f>IF(B49&lt;$F$17,$F$20-E49-F49,IF(B49=$F$17,$E$19-SUM($D$30:D48),0))</f>
        <v>5332.8690171932503</v>
      </c>
      <c r="E49" s="152">
        <f>IF(B49&lt;=$F$17,(E$19*(VLOOKUP($H$2,Лист2!$A:$N,12,0)-(B49-1)*VLOOKUP($H$2,Лист2!$A:$N,13,0))),0)</f>
        <v>0</v>
      </c>
      <c r="F49" s="153">
        <f>ROUND((E$19-SUM(D$31:D48))*F$11*30/365,2)</f>
        <v>6114.42</v>
      </c>
      <c r="G49" s="196">
        <f t="shared" si="1"/>
        <v>11447.28901719325</v>
      </c>
      <c r="H49" s="196"/>
      <c r="I49" s="3"/>
      <c r="K49" s="131"/>
    </row>
    <row r="50" spans="1:11" x14ac:dyDescent="0.25">
      <c r="A50" s="1">
        <v>20</v>
      </c>
      <c r="B50" s="119">
        <v>20</v>
      </c>
      <c r="C50" s="122">
        <f t="shared" ca="1" si="0"/>
        <v>45089</v>
      </c>
      <c r="D50" s="151">
        <f>IF(B50&lt;$F$17,$F$20-E50-F50,IF(B50=$F$17,$E$19-SUM($D$30:D49),0))</f>
        <v>5573.93901719325</v>
      </c>
      <c r="E50" s="152">
        <f>IF(B50&lt;=$F$17,(E$19*(VLOOKUP($H$2,Лист2!$A:$N,12,0)-(B50-1)*VLOOKUP($H$2,Лист2!$A:$N,13,0))),0)</f>
        <v>0</v>
      </c>
      <c r="F50" s="153">
        <f>ROUND((E$19-SUM(D$31:D49))*F$11*30/365,2)</f>
        <v>5873.35</v>
      </c>
      <c r="G50" s="196">
        <f t="shared" si="1"/>
        <v>11447.28901719325</v>
      </c>
      <c r="H50" s="196"/>
      <c r="I50" s="3"/>
      <c r="K50" s="131"/>
    </row>
    <row r="51" spans="1:11" x14ac:dyDescent="0.25">
      <c r="A51" s="59">
        <v>21</v>
      </c>
      <c r="B51" s="119">
        <v>21</v>
      </c>
      <c r="C51" s="122">
        <f t="shared" ca="1" si="0"/>
        <v>45119</v>
      </c>
      <c r="D51" s="151">
        <f>IF(B51&lt;$F$17,$F$20-E51-F51,IF(B51=$F$17,$E$19-SUM($D$30:D50),0))</f>
        <v>5825.9190171932505</v>
      </c>
      <c r="E51" s="152">
        <f>IF(B51&lt;=$F$17,(E$19*(VLOOKUP($H$2,Лист2!$A:$N,12,0)-(B51-1)*VLOOKUP($H$2,Лист2!$A:$N,13,0))),0)</f>
        <v>0</v>
      </c>
      <c r="F51" s="153">
        <f>ROUND((E$19-SUM(D$31:D50))*F$11*30/365,2)</f>
        <v>5621.37</v>
      </c>
      <c r="G51" s="196">
        <f t="shared" si="1"/>
        <v>11447.28901719325</v>
      </c>
      <c r="H51" s="196"/>
      <c r="I51" s="3"/>
      <c r="K51" s="131"/>
    </row>
    <row r="52" spans="1:11" x14ac:dyDescent="0.25">
      <c r="A52" s="59">
        <v>22</v>
      </c>
      <c r="B52" s="119">
        <v>22</v>
      </c>
      <c r="C52" s="122">
        <f t="shared" ca="1" si="0"/>
        <v>45150</v>
      </c>
      <c r="D52" s="151">
        <f>IF(B52&lt;$F$17,$F$20-E52-F52,IF(B52=$F$17,$E$19-SUM($D$30:D51),0))</f>
        <v>6089.2790171932502</v>
      </c>
      <c r="E52" s="152">
        <f>IF(B52&lt;=$F$17,(E$19*(VLOOKUP($H$2,Лист2!$A:$N,12,0)-(B52-1)*VLOOKUP($H$2,Лист2!$A:$N,13,0))),0)</f>
        <v>0</v>
      </c>
      <c r="F52" s="153">
        <f>ROUND((E$19-SUM(D$31:D51))*F$11*30/365,2)</f>
        <v>5358.01</v>
      </c>
      <c r="G52" s="196">
        <f t="shared" si="1"/>
        <v>11447.28901719325</v>
      </c>
      <c r="H52" s="196"/>
      <c r="I52" s="3"/>
    </row>
    <row r="53" spans="1:11" x14ac:dyDescent="0.25">
      <c r="A53" s="59">
        <v>25</v>
      </c>
      <c r="B53" s="119">
        <v>23</v>
      </c>
      <c r="C53" s="122">
        <f t="shared" ca="1" si="0"/>
        <v>45181</v>
      </c>
      <c r="D53" s="151">
        <f>IF(B53&lt;$F$17,$F$20-E53-F53,IF(B53=$F$17,$E$19-SUM($D$30:D52),0))</f>
        <v>6364.5490171932506</v>
      </c>
      <c r="E53" s="152">
        <f>IF(B53&lt;=$F$17,(E$19*(VLOOKUP($H$2,Лист2!$A:$N,12,0)-(B53-1)*VLOOKUP($H$2,Лист2!$A:$N,13,0))),0)</f>
        <v>0</v>
      </c>
      <c r="F53" s="153">
        <f>ROUND((E$19-SUM(D$31:D52))*F$11*30/365,2)</f>
        <v>5082.74</v>
      </c>
      <c r="G53" s="196">
        <f t="shared" si="1"/>
        <v>11447.28901719325</v>
      </c>
      <c r="H53" s="196"/>
      <c r="I53" s="3"/>
    </row>
    <row r="54" spans="1:11" x14ac:dyDescent="0.25">
      <c r="A54" s="59"/>
      <c r="B54" s="119">
        <v>24</v>
      </c>
      <c r="C54" s="122">
        <f t="shared" ca="1" si="0"/>
        <v>45211</v>
      </c>
      <c r="D54" s="151">
        <f>IF(B54&lt;$F$17,$F$20-E54-F54,IF(B54=$F$17,$E$19-SUM($D$30:D53),0))</f>
        <v>6652.2590171932507</v>
      </c>
      <c r="E54" s="152">
        <f>IF(B54&lt;=$F$17,(E$19*(VLOOKUP($H$2,Лист2!$A:$N,12,0)-(B54-1)*VLOOKUP($H$2,Лист2!$A:$N,13,0))),0)</f>
        <v>0</v>
      </c>
      <c r="F54" s="153">
        <f>ROUND((E$19-SUM(D$31:D53))*F$11*30/365,2)</f>
        <v>4795.03</v>
      </c>
      <c r="G54" s="196">
        <f t="shared" si="1"/>
        <v>11447.28901719325</v>
      </c>
      <c r="H54" s="196"/>
      <c r="I54" s="3"/>
    </row>
    <row r="55" spans="1:11" x14ac:dyDescent="0.25">
      <c r="A55" s="59"/>
      <c r="B55" s="119">
        <v>25</v>
      </c>
      <c r="C55" s="122">
        <f t="shared" ca="1" si="0"/>
        <v>45242</v>
      </c>
      <c r="D55" s="151">
        <f>IF(B55&lt;$F$17,$F$20-E55-F55,IF(B55=$F$17,$E$19-SUM($D$30:D54),0))</f>
        <v>6952.97901719325</v>
      </c>
      <c r="E55" s="152">
        <f>IF(B55&lt;=$F$17,(E$19*(VLOOKUP($H$2,Лист2!$A:$N,12,0)-(B55-1)*VLOOKUP($H$2,Лист2!$A:$N,13,0))),0)</f>
        <v>0</v>
      </c>
      <c r="F55" s="153">
        <f>ROUND((E$19-SUM(D$31:D54))*F$11*30/365,2)</f>
        <v>4494.3100000000004</v>
      </c>
      <c r="G55" s="196">
        <f t="shared" si="1"/>
        <v>11447.28901719325</v>
      </c>
      <c r="H55" s="196"/>
      <c r="I55" s="3"/>
    </row>
    <row r="56" spans="1:11" x14ac:dyDescent="0.25">
      <c r="A56" s="59"/>
      <c r="B56" s="119">
        <v>26</v>
      </c>
      <c r="C56" s="122">
        <f t="shared" ca="1" si="0"/>
        <v>45272</v>
      </c>
      <c r="D56" s="151">
        <f>IF(B56&lt;$F$17,$F$20-E56-F56,IF(B56=$F$17,$E$19-SUM($D$30:D55),0))</f>
        <v>7267.2890171932504</v>
      </c>
      <c r="E56" s="152">
        <f>IF(B56&lt;=$F$17,(E$19*(VLOOKUP($H$2,Лист2!$A:$N,12,0)-(B56-1)*VLOOKUP($H$2,Лист2!$A:$N,13,0))),0)</f>
        <v>0</v>
      </c>
      <c r="F56" s="153">
        <f>ROUND((E$19-SUM(D$31:D55))*F$11*30/365,2)</f>
        <v>4180</v>
      </c>
      <c r="G56" s="196">
        <f t="shared" si="1"/>
        <v>11447.28901719325</v>
      </c>
      <c r="H56" s="196"/>
      <c r="I56" s="3"/>
    </row>
    <row r="57" spans="1:11" x14ac:dyDescent="0.25">
      <c r="A57" s="59"/>
      <c r="B57" s="119">
        <v>27</v>
      </c>
      <c r="C57" s="122">
        <f t="shared" ca="1" si="0"/>
        <v>45303</v>
      </c>
      <c r="D57" s="151">
        <f>IF(B57&lt;$F$17,$F$20-E57-F57,IF(B57=$F$17,$E$19-SUM($D$30:D56),0))</f>
        <v>7595.8090171932508</v>
      </c>
      <c r="E57" s="152">
        <f>IF(B57&lt;=$F$17,(E$19*(VLOOKUP($H$2,Лист2!$A:$N,12,0)-(B57-1)*VLOOKUP($H$2,Лист2!$A:$N,13,0))),0)</f>
        <v>0</v>
      </c>
      <c r="F57" s="153">
        <f>ROUND((E$19-SUM(D$31:D56))*F$11*30/365,2)</f>
        <v>3851.48</v>
      </c>
      <c r="G57" s="196">
        <f t="shared" si="1"/>
        <v>11447.28901719325</v>
      </c>
      <c r="H57" s="196"/>
      <c r="I57" s="3"/>
    </row>
    <row r="58" spans="1:11" x14ac:dyDescent="0.25">
      <c r="A58" s="59"/>
      <c r="B58" s="119">
        <v>28</v>
      </c>
      <c r="C58" s="122">
        <f t="shared" ca="1" si="0"/>
        <v>45334</v>
      </c>
      <c r="D58" s="151">
        <f>IF(B58&lt;$F$17,$F$20-E58-F58,IF(B58=$F$17,$E$19-SUM($D$30:D57),0))</f>
        <v>7939.1790171932498</v>
      </c>
      <c r="E58" s="152">
        <f>IF(B58&lt;=$F$17,(E$19*(VLOOKUP($H$2,Лист2!$A:$N,12,0)-(B58-1)*VLOOKUP($H$2,Лист2!$A:$N,13,0))),0)</f>
        <v>0</v>
      </c>
      <c r="F58" s="153">
        <f>ROUND((E$19-SUM(D$31:D57))*F$11*30/365,2)</f>
        <v>3508.11</v>
      </c>
      <c r="G58" s="196">
        <f t="shared" si="1"/>
        <v>11447.28901719325</v>
      </c>
      <c r="H58" s="196"/>
      <c r="I58" s="3"/>
    </row>
    <row r="59" spans="1:11" x14ac:dyDescent="0.25">
      <c r="A59" s="59"/>
      <c r="B59" s="119">
        <v>29</v>
      </c>
      <c r="C59" s="122">
        <f t="shared" ca="1" si="0"/>
        <v>45363</v>
      </c>
      <c r="D59" s="151">
        <f>IF(B59&lt;$F$17,$F$20-E59-F59,IF(B59=$F$17,$E$19-SUM($D$30:D58),0))</f>
        <v>8298.0790171932495</v>
      </c>
      <c r="E59" s="152">
        <f>IF(B59&lt;=$F$17,(E$19*(VLOOKUP($H$2,Лист2!$A:$N,12,0)-(B59-1)*VLOOKUP($H$2,Лист2!$A:$N,13,0))),0)</f>
        <v>0</v>
      </c>
      <c r="F59" s="153">
        <f>ROUND((E$19-SUM(D$31:D58))*F$11*30/365,2)</f>
        <v>3149.21</v>
      </c>
      <c r="G59" s="196">
        <f t="shared" si="1"/>
        <v>11447.289017193249</v>
      </c>
      <c r="H59" s="196"/>
      <c r="I59" s="3"/>
    </row>
    <row r="60" spans="1:11" x14ac:dyDescent="0.25">
      <c r="A60" s="59">
        <v>25</v>
      </c>
      <c r="B60" s="119">
        <v>30</v>
      </c>
      <c r="C60" s="122">
        <f t="shared" ca="1" si="0"/>
        <v>45394</v>
      </c>
      <c r="D60" s="151">
        <f>IF(B60&lt;$F$17,$F$20-E60-F60,IF(B60=$F$17,$E$19-SUM($D$30:D59),0))</f>
        <v>8673.1990171932503</v>
      </c>
      <c r="E60" s="152">
        <f>IF(B60&lt;=$F$17,(E$19*(VLOOKUP($H$2,Лист2!$A:$N,12,0)-(B60-1)*VLOOKUP($H$2,Лист2!$A:$N,13,0))),0)</f>
        <v>0</v>
      </c>
      <c r="F60" s="153">
        <f>ROUND((E$19-SUM(D$31:D59))*F$11*30/365,2)</f>
        <v>2774.09</v>
      </c>
      <c r="G60" s="196">
        <f t="shared" si="1"/>
        <v>11447.28901719325</v>
      </c>
      <c r="H60" s="196"/>
      <c r="I60" s="124"/>
      <c r="J60" s="124"/>
    </row>
    <row r="61" spans="1:11" x14ac:dyDescent="0.25">
      <c r="A61" s="59"/>
      <c r="B61" s="119">
        <v>31</v>
      </c>
      <c r="C61" s="122">
        <f t="shared" ca="1" si="0"/>
        <v>45424</v>
      </c>
      <c r="D61" s="151">
        <f>IF(B61&lt;$F$17,$F$20-E61-F61,IF(B61=$F$17,$E$19-SUM($D$30:D60),0))</f>
        <v>9065.26901719325</v>
      </c>
      <c r="E61" s="152">
        <f>IF(B61&lt;=$F$17,(E$19*(VLOOKUP($H$2,Лист2!$A:$N,12,0)-(B61-1)*VLOOKUP($H$2,Лист2!$A:$N,13,0))),0)</f>
        <v>0</v>
      </c>
      <c r="F61" s="153">
        <f>ROUND((E$19-SUM(D$31:D60))*F$11*30/365,2)</f>
        <v>2382.02</v>
      </c>
      <c r="G61" s="196">
        <f t="shared" si="1"/>
        <v>11447.28901719325</v>
      </c>
      <c r="H61" s="196"/>
      <c r="I61" s="124"/>
      <c r="J61" s="124"/>
    </row>
    <row r="62" spans="1:11" x14ac:dyDescent="0.25">
      <c r="A62" s="59"/>
      <c r="B62" s="119">
        <v>32</v>
      </c>
      <c r="C62" s="122">
        <f t="shared" ca="1" si="0"/>
        <v>45455</v>
      </c>
      <c r="D62" s="151">
        <f>IF(B62&lt;$F$17,$F$20-E62-F62,IF(B62=$F$17,$E$19-SUM($D$30:D61),0))</f>
        <v>9475.0690171932511</v>
      </c>
      <c r="E62" s="152">
        <f>IF(B62&lt;=$F$17,(E$19*(VLOOKUP($H$2,Лист2!$A:$N,12,0)-(B62-1)*VLOOKUP($H$2,Лист2!$A:$N,13,0))),0)</f>
        <v>0</v>
      </c>
      <c r="F62" s="153">
        <f>ROUND((E$19-SUM(D$31:D61))*F$11*30/365,2)</f>
        <v>1972.22</v>
      </c>
      <c r="G62" s="196">
        <f t="shared" si="1"/>
        <v>11447.28901719325</v>
      </c>
      <c r="H62" s="196"/>
      <c r="I62" s="124"/>
      <c r="J62" s="124"/>
    </row>
    <row r="63" spans="1:11" x14ac:dyDescent="0.25">
      <c r="A63" s="59"/>
      <c r="B63" s="119">
        <v>33</v>
      </c>
      <c r="C63" s="122">
        <f t="shared" ca="1" si="0"/>
        <v>45485</v>
      </c>
      <c r="D63" s="151">
        <f>IF(B63&lt;$F$17,$F$20-E63-F63,IF(B63=$F$17,$E$19-SUM($D$30:D62),0))</f>
        <v>9903.399017193251</v>
      </c>
      <c r="E63" s="152">
        <f>IF(B63&lt;=$F$17,(E$19*(VLOOKUP($H$2,Лист2!$A:$N,12,0)-(B63-1)*VLOOKUP($H$2,Лист2!$A:$N,13,0))),0)</f>
        <v>0</v>
      </c>
      <c r="F63" s="153">
        <f>ROUND((E$19-SUM(D$31:D62))*F$11*30/365,2)</f>
        <v>1543.89</v>
      </c>
      <c r="G63" s="196">
        <f t="shared" si="1"/>
        <v>11447.28901719325</v>
      </c>
      <c r="H63" s="196"/>
      <c r="I63" s="124"/>
      <c r="J63" s="124"/>
    </row>
    <row r="64" spans="1:11" x14ac:dyDescent="0.25">
      <c r="A64" s="59"/>
      <c r="B64" s="119">
        <v>34</v>
      </c>
      <c r="C64" s="122">
        <f t="shared" ca="1" si="0"/>
        <v>45516</v>
      </c>
      <c r="D64" s="151">
        <f>IF(B64&lt;$F$17,$F$20-E64-F64,IF(B64=$F$17,$E$19-SUM($D$30:D63),0))</f>
        <v>10351.08901719325</v>
      </c>
      <c r="E64" s="152">
        <f>IF(B64&lt;=$F$17,(E$19*(VLOOKUP($H$2,Лист2!$A:$N,12,0)-(B64-1)*VLOOKUP($H$2,Лист2!$A:$N,13,0))),0)</f>
        <v>0</v>
      </c>
      <c r="F64" s="153">
        <f>ROUND((E$19-SUM(D$31:D63))*F$11*30/365,2)</f>
        <v>1096.2</v>
      </c>
      <c r="G64" s="196">
        <f t="shared" si="1"/>
        <v>11447.28901719325</v>
      </c>
      <c r="H64" s="196"/>
      <c r="I64" s="124"/>
      <c r="J64" s="124"/>
    </row>
    <row r="65" spans="1:10" x14ac:dyDescent="0.25">
      <c r="A65" s="59"/>
      <c r="B65" s="119">
        <v>35</v>
      </c>
      <c r="C65" s="122">
        <f t="shared" ca="1" si="0"/>
        <v>45547</v>
      </c>
      <c r="D65" s="151">
        <f>IF(B65&lt;$F$17,$F$20-E65-F65,IF(B65=$F$17,$E$19-SUM($D$30:D64),0))</f>
        <v>10819.00901719325</v>
      </c>
      <c r="E65" s="152">
        <f>IF(B65&lt;=$F$17,(E$19*(VLOOKUP($H$2,Лист2!$A:$N,12,0)-(B65-1)*VLOOKUP($H$2,Лист2!$A:$N,13,0))),0)</f>
        <v>0</v>
      </c>
      <c r="F65" s="153">
        <f>ROUND((E$19-SUM(D$31:D64))*F$11*30/365,2)</f>
        <v>628.28</v>
      </c>
      <c r="G65" s="196">
        <f t="shared" si="1"/>
        <v>11447.28901719325</v>
      </c>
      <c r="H65" s="196"/>
      <c r="I65" s="124"/>
      <c r="J65" s="124"/>
    </row>
    <row r="66" spans="1:10" x14ac:dyDescent="0.25">
      <c r="A66" s="59"/>
      <c r="B66" s="119">
        <v>36</v>
      </c>
      <c r="C66" s="122">
        <f t="shared" ca="1" si="0"/>
        <v>45577</v>
      </c>
      <c r="D66" s="151">
        <f>IF(B66&lt;$F$17,$F$20-E66-F66,IF(B66=$F$17,$E$19-SUM($D$30:D65),0))</f>
        <v>3079.2443982362165</v>
      </c>
      <c r="E66" s="152">
        <f>IF(B66&lt;=$F$17,(E$19*(VLOOKUP($H$2,Лист2!$A:$N,12,0)-(B66-1)*VLOOKUP($H$2,Лист2!$A:$N,13,0))),0)</f>
        <v>0</v>
      </c>
      <c r="F66" s="153">
        <f>ROUND((E$19-SUM(D$31:D65))*F$11*30/365,2)</f>
        <v>139.19999999999999</v>
      </c>
      <c r="G66" s="196">
        <f t="shared" si="1"/>
        <v>3218.4443982362163</v>
      </c>
      <c r="H66" s="196"/>
      <c r="I66" s="124"/>
      <c r="J66" s="124"/>
    </row>
    <row r="67" spans="1:10" x14ac:dyDescent="0.25">
      <c r="A67" s="59"/>
      <c r="B67" s="119">
        <v>37</v>
      </c>
      <c r="C67" s="122">
        <f t="shared" ca="1" si="0"/>
        <v>45608</v>
      </c>
      <c r="D67" s="151">
        <f>IF(B67&lt;$F$17,$F$20-E67-F67,IF(B67=$F$17,$E$19-SUM($D$30:D66),0))</f>
        <v>0</v>
      </c>
      <c r="E67" s="152">
        <f>IF(B67&lt;=$F$17,(E$19*(VLOOKUP($H$2,Лист2!$A:$N,12,0)-(B67-1)*VLOOKUP($H$2,Лист2!$A:$N,13,0))),0)</f>
        <v>0</v>
      </c>
      <c r="F67" s="153">
        <f>ROUND((E$19-SUM(D$31:D66))*F$11*30/365,2)</f>
        <v>0</v>
      </c>
      <c r="G67" s="196">
        <f t="shared" si="1"/>
        <v>0</v>
      </c>
      <c r="H67" s="196"/>
      <c r="I67" s="124"/>
      <c r="J67" s="124"/>
    </row>
    <row r="68" spans="1:10" x14ac:dyDescent="0.25">
      <c r="A68" s="59"/>
      <c r="B68" s="119">
        <v>38</v>
      </c>
      <c r="C68" s="122">
        <f t="shared" ca="1" si="0"/>
        <v>45638</v>
      </c>
      <c r="D68" s="151">
        <f>IF(B68&lt;$F$17,$F$20-E68-F68,IF(B68=$F$17,$E$19-SUM($D$30:D67),0))</f>
        <v>0</v>
      </c>
      <c r="E68" s="152">
        <f>IF(B68&lt;=$F$17,(E$19*(VLOOKUP($H$2,Лист2!$A:$N,12,0)-(B68-1)*VLOOKUP($H$2,Лист2!$A:$N,13,0))),0)</f>
        <v>0</v>
      </c>
      <c r="F68" s="153">
        <f>ROUND((E$19-SUM(D$31:D67))*F$11*30/365,2)</f>
        <v>0</v>
      </c>
      <c r="G68" s="196">
        <f t="shared" si="1"/>
        <v>0</v>
      </c>
      <c r="H68" s="196"/>
      <c r="I68" s="124"/>
      <c r="J68" s="124"/>
    </row>
    <row r="69" spans="1:10" x14ac:dyDescent="0.25">
      <c r="A69" s="59"/>
      <c r="B69" s="119">
        <v>39</v>
      </c>
      <c r="C69" s="122">
        <f t="shared" ca="1" si="0"/>
        <v>45669</v>
      </c>
      <c r="D69" s="151">
        <f>IF(B69&lt;$F$17,$F$20-E69-F69,IF(B69=$F$17,$E$19-SUM($D$30:D68),0))</f>
        <v>0</v>
      </c>
      <c r="E69" s="152">
        <f>IF(B69&lt;=$F$17,(E$19*(VLOOKUP($H$2,Лист2!$A:$N,12,0)-(B69-1)*VLOOKUP($H$2,Лист2!$A:$N,13,0))),0)</f>
        <v>0</v>
      </c>
      <c r="F69" s="153">
        <f>ROUND((E$19-SUM(D$31:D68))*F$11*30/365,2)</f>
        <v>0</v>
      </c>
      <c r="G69" s="196">
        <f t="shared" si="1"/>
        <v>0</v>
      </c>
      <c r="H69" s="196"/>
      <c r="I69" s="124"/>
      <c r="J69" s="124"/>
    </row>
    <row r="70" spans="1:10" x14ac:dyDescent="0.25">
      <c r="A70" s="59"/>
      <c r="B70" s="119">
        <v>40</v>
      </c>
      <c r="C70" s="122">
        <f t="shared" ca="1" si="0"/>
        <v>45700</v>
      </c>
      <c r="D70" s="151">
        <f>IF(B70&lt;$F$17,$F$20-E70-F70,IF(B70=$F$17,$E$19-SUM($D$30:D69),0))</f>
        <v>0</v>
      </c>
      <c r="E70" s="152">
        <f>IF(B70&lt;=$F$17,(E$19*(VLOOKUP($H$2,Лист2!$A:$N,12,0)-(B70-1)*VLOOKUP($H$2,Лист2!$A:$N,13,0))),0)</f>
        <v>0</v>
      </c>
      <c r="F70" s="153">
        <f>ROUND((E$19-SUM(D$31:D69))*F$11*30/365,2)</f>
        <v>0</v>
      </c>
      <c r="G70" s="196">
        <f t="shared" si="1"/>
        <v>0</v>
      </c>
      <c r="H70" s="196"/>
      <c r="I70" s="124"/>
      <c r="J70" s="124"/>
    </row>
    <row r="71" spans="1:10" x14ac:dyDescent="0.25">
      <c r="A71" s="59"/>
      <c r="B71" s="119">
        <v>41</v>
      </c>
      <c r="C71" s="122">
        <f t="shared" ca="1" si="0"/>
        <v>45728</v>
      </c>
      <c r="D71" s="151">
        <f>IF(B71&lt;$F$17,$F$20-E71-F71,IF(B71=$F$17,$E$19-SUM($D$30:D70),0))</f>
        <v>0</v>
      </c>
      <c r="E71" s="152">
        <f>IF(B71&lt;=$F$17,(E$19*(VLOOKUP($H$2,Лист2!$A:$N,12,0)-(B71-1)*VLOOKUP($H$2,Лист2!$A:$N,13,0))),0)</f>
        <v>0</v>
      </c>
      <c r="F71" s="153">
        <f>ROUND((E$19-SUM(D$31:D70))*F$11*30/365,2)</f>
        <v>0</v>
      </c>
      <c r="G71" s="196">
        <f t="shared" si="1"/>
        <v>0</v>
      </c>
      <c r="H71" s="196"/>
      <c r="I71" s="124"/>
      <c r="J71" s="124"/>
    </row>
    <row r="72" spans="1:10" x14ac:dyDescent="0.25">
      <c r="A72" s="59"/>
      <c r="B72" s="119">
        <v>42</v>
      </c>
      <c r="C72" s="122">
        <f t="shared" ca="1" si="0"/>
        <v>45759</v>
      </c>
      <c r="D72" s="151">
        <f>IF(B72&lt;$F$17,$F$20-E72-F72,IF(B72=$F$17,$E$19-SUM($D$30:D71),0))</f>
        <v>0</v>
      </c>
      <c r="E72" s="152">
        <f>IF(B72&lt;=$F$17,(E$19*(VLOOKUP($H$2,Лист2!$A:$N,12,0)-(B72-1)*VLOOKUP($H$2,Лист2!$A:$N,13,0))),0)</f>
        <v>0</v>
      </c>
      <c r="F72" s="153">
        <f>ROUND((E$19-SUM(D$31:D71))*F$11*30/365,2)</f>
        <v>0</v>
      </c>
      <c r="G72" s="196">
        <f t="shared" si="1"/>
        <v>0</v>
      </c>
      <c r="H72" s="196"/>
      <c r="I72" s="124"/>
      <c r="J72" s="124"/>
    </row>
    <row r="73" spans="1:10" x14ac:dyDescent="0.25">
      <c r="A73" s="59"/>
      <c r="B73" s="119">
        <v>43</v>
      </c>
      <c r="C73" s="122">
        <f t="shared" ca="1" si="0"/>
        <v>45789</v>
      </c>
      <c r="D73" s="151">
        <f>IF(B73&lt;$F$17,$F$20-E73-F73,IF(B73=$F$17,$E$19-SUM($D$30:D72),0))</f>
        <v>0</v>
      </c>
      <c r="E73" s="152">
        <f>IF(B73&lt;=$F$17,(E$19*(VLOOKUP($H$2,Лист2!$A:$N,12,0)-(B73-1)*VLOOKUP($H$2,Лист2!$A:$N,13,0))),0)</f>
        <v>0</v>
      </c>
      <c r="F73" s="153">
        <f>ROUND((E$19-SUM(D$31:D72))*F$11*30/365,2)</f>
        <v>0</v>
      </c>
      <c r="G73" s="196">
        <f t="shared" si="1"/>
        <v>0</v>
      </c>
      <c r="H73" s="196"/>
      <c r="I73" s="124"/>
      <c r="J73" s="124"/>
    </row>
    <row r="74" spans="1:10" x14ac:dyDescent="0.25">
      <c r="A74" s="59"/>
      <c r="B74" s="119">
        <v>44</v>
      </c>
      <c r="C74" s="122">
        <f t="shared" ca="1" si="0"/>
        <v>45820</v>
      </c>
      <c r="D74" s="151">
        <f>IF(B74&lt;$F$17,$F$20-E74-F74,IF(B74=$F$17,$E$19-SUM($D$30:D73),0))</f>
        <v>0</v>
      </c>
      <c r="E74" s="152">
        <f>IF(B74&lt;=$F$17,(E$19*(VLOOKUP($H$2,Лист2!$A:$N,12,0)-(B74-1)*VLOOKUP($H$2,Лист2!$A:$N,13,0))),0)</f>
        <v>0</v>
      </c>
      <c r="F74" s="153">
        <f>ROUND((E$19-SUM(D$31:D73))*F$11*30/365,2)</f>
        <v>0</v>
      </c>
      <c r="G74" s="196">
        <f t="shared" si="1"/>
        <v>0</v>
      </c>
      <c r="H74" s="196"/>
      <c r="I74" s="124"/>
      <c r="J74" s="124"/>
    </row>
    <row r="75" spans="1:10" x14ac:dyDescent="0.25">
      <c r="A75" s="59"/>
      <c r="B75" s="119">
        <v>45</v>
      </c>
      <c r="C75" s="122">
        <f t="shared" ca="1" si="0"/>
        <v>45850</v>
      </c>
      <c r="D75" s="151">
        <f>IF(B75&lt;$F$17,$F$20-E75-F75,IF(B75=$F$17,$E$19-SUM($D$30:D74),0))</f>
        <v>0</v>
      </c>
      <c r="E75" s="152">
        <f>IF(B75&lt;=$F$17,(E$19*(VLOOKUP($H$2,Лист2!$A:$N,12,0)-(B75-1)*VLOOKUP($H$2,Лист2!$A:$N,13,0))),0)</f>
        <v>0</v>
      </c>
      <c r="F75" s="153">
        <f>ROUND((E$19-SUM(D$31:D74))*F$11*30/365,2)</f>
        <v>0</v>
      </c>
      <c r="G75" s="196">
        <f t="shared" si="1"/>
        <v>0</v>
      </c>
      <c r="H75" s="196"/>
      <c r="I75" s="124"/>
      <c r="J75" s="124"/>
    </row>
    <row r="76" spans="1:10" x14ac:dyDescent="0.25">
      <c r="A76" s="59"/>
      <c r="B76" s="119">
        <v>46</v>
      </c>
      <c r="C76" s="122">
        <f t="shared" ca="1" si="0"/>
        <v>45881</v>
      </c>
      <c r="D76" s="151">
        <f>IF(B76&lt;$F$17,$F$20-E76-F76,IF(B76=$F$17,$E$19-SUM($D$30:D75),0))</f>
        <v>0</v>
      </c>
      <c r="E76" s="152">
        <f>IF(B76&lt;=$F$17,(E$19*(VLOOKUP($H$2,Лист2!$A:$N,12,0)-(B76-1)*VLOOKUP($H$2,Лист2!$A:$N,13,0))),0)</f>
        <v>0</v>
      </c>
      <c r="F76" s="153">
        <f>ROUND((E$19-SUM(D$31:D75))*F$11*30/365,2)</f>
        <v>0</v>
      </c>
      <c r="G76" s="196">
        <f t="shared" si="1"/>
        <v>0</v>
      </c>
      <c r="H76" s="196"/>
      <c r="I76" s="124"/>
      <c r="J76" s="124"/>
    </row>
    <row r="77" spans="1:10" x14ac:dyDescent="0.25">
      <c r="A77" s="59"/>
      <c r="B77" s="119">
        <v>47</v>
      </c>
      <c r="C77" s="122">
        <f t="shared" ca="1" si="0"/>
        <v>45912</v>
      </c>
      <c r="D77" s="151">
        <f>IF(B77&lt;$F$17,$F$20-E77-F77,IF(B77=$F$17,$E$19-SUM($D$30:D76),0))</f>
        <v>0</v>
      </c>
      <c r="E77" s="152">
        <f>IF(B77&lt;=$F$17,(E$19*(VLOOKUP($H$2,Лист2!$A:$N,12,0)-(B77-1)*VLOOKUP($H$2,Лист2!$A:$N,13,0))),0)</f>
        <v>0</v>
      </c>
      <c r="F77" s="153">
        <f>ROUND((E$19-SUM(D$31:D76))*F$11*30/365,2)</f>
        <v>0</v>
      </c>
      <c r="G77" s="196">
        <f t="shared" si="1"/>
        <v>0</v>
      </c>
      <c r="H77" s="196"/>
      <c r="I77" s="124"/>
      <c r="J77" s="124"/>
    </row>
    <row r="78" spans="1:10" x14ac:dyDescent="0.25">
      <c r="A78" s="59"/>
      <c r="B78" s="119">
        <v>48</v>
      </c>
      <c r="C78" s="122">
        <f t="shared" ca="1" si="0"/>
        <v>45942</v>
      </c>
      <c r="D78" s="151">
        <f>IF(B78&lt;$F$17,$F$20-E78-F78,IF(B78=$F$17,$E$19-SUM($D$30:D77),0))</f>
        <v>0</v>
      </c>
      <c r="E78" s="152">
        <f>IF(B78&lt;=$F$17,(E$19*(VLOOKUP($H$2,Лист2!$A:$N,12,0)-(B78-1)*VLOOKUP($H$2,Лист2!$A:$N,13,0))),0)</f>
        <v>0</v>
      </c>
      <c r="F78" s="153">
        <f>ROUND((E$19-SUM(D$31:D77))*F$11*30/365,2)</f>
        <v>0</v>
      </c>
      <c r="G78" s="196">
        <f t="shared" si="1"/>
        <v>0</v>
      </c>
      <c r="H78" s="196"/>
      <c r="I78" s="124"/>
      <c r="J78" s="124"/>
    </row>
    <row r="79" spans="1:10" x14ac:dyDescent="0.25">
      <c r="A79" s="59"/>
      <c r="B79" s="119">
        <v>49</v>
      </c>
      <c r="C79" s="122">
        <f t="shared" ca="1" si="0"/>
        <v>45973</v>
      </c>
      <c r="D79" s="151">
        <f>IF(B79&lt;$F$17,$F$20-E79-F79,IF(B79=$F$17,$E$19-SUM($D$30:D78),0))</f>
        <v>0</v>
      </c>
      <c r="E79" s="152">
        <f>IF(B79&lt;=$F$17,(E$19*(VLOOKUP($H$2,Лист2!$A:$N,12,0)-(B79-1)*VLOOKUP($H$2,Лист2!$A:$N,13,0))),0)</f>
        <v>0</v>
      </c>
      <c r="F79" s="153">
        <f>ROUND((E$19-SUM(D$31:D78))*F$11*30/365,2)</f>
        <v>0</v>
      </c>
      <c r="G79" s="196">
        <f t="shared" si="1"/>
        <v>0</v>
      </c>
      <c r="H79" s="196"/>
      <c r="I79" s="124"/>
      <c r="J79" s="124"/>
    </row>
    <row r="80" spans="1:10" x14ac:dyDescent="0.25">
      <c r="A80" s="59"/>
      <c r="B80" s="119">
        <v>50</v>
      </c>
      <c r="C80" s="122">
        <f t="shared" ca="1" si="0"/>
        <v>46003</v>
      </c>
      <c r="D80" s="151">
        <f>IF(B80&lt;$F$17,$F$20-E80-F80,IF(B80=$F$17,$E$19-SUM($D$30:D79),0))</f>
        <v>0</v>
      </c>
      <c r="E80" s="152">
        <f>IF(B80&lt;=$F$17,(E$19*(VLOOKUP($H$2,Лист2!$A:$N,12,0)-(B80-1)*VLOOKUP($H$2,Лист2!$A:$N,13,0))),0)</f>
        <v>0</v>
      </c>
      <c r="F80" s="153">
        <f>ROUND((E$19-SUM(D$31:D79))*F$11*30/365,2)</f>
        <v>0</v>
      </c>
      <c r="G80" s="196">
        <f t="shared" si="1"/>
        <v>0</v>
      </c>
      <c r="H80" s="196"/>
      <c r="I80" s="124"/>
      <c r="J80" s="124"/>
    </row>
    <row r="81" spans="1:10" x14ac:dyDescent="0.25">
      <c r="A81" s="59"/>
      <c r="B81" s="119">
        <v>51</v>
      </c>
      <c r="C81" s="122">
        <f t="shared" ca="1" si="0"/>
        <v>46034</v>
      </c>
      <c r="D81" s="151">
        <f>IF(B81&lt;$F$17,$F$20-E81-F81,IF(B81=$F$17,$E$19-SUM($D$30:D80),0))</f>
        <v>0</v>
      </c>
      <c r="E81" s="152">
        <f>IF(B81&lt;=$F$17,(E$19*(VLOOKUP($H$2,Лист2!$A:$N,12,0)-(B81-1)*VLOOKUP($H$2,Лист2!$A:$N,13,0))),0)</f>
        <v>0</v>
      </c>
      <c r="F81" s="153">
        <f>ROUND((E$19-SUM(D$31:D80))*F$11*30/365,2)</f>
        <v>0</v>
      </c>
      <c r="G81" s="196">
        <f t="shared" si="1"/>
        <v>0</v>
      </c>
      <c r="H81" s="196"/>
      <c r="I81" s="124"/>
      <c r="J81" s="124"/>
    </row>
    <row r="82" spans="1:10" x14ac:dyDescent="0.25">
      <c r="A82" s="59"/>
      <c r="B82" s="119">
        <v>52</v>
      </c>
      <c r="C82" s="122">
        <f t="shared" ca="1" si="0"/>
        <v>46065</v>
      </c>
      <c r="D82" s="151">
        <f>IF(B82&lt;$F$17,$F$20-E82-F82,IF(B82=$F$17,$E$19-SUM($D$30:D81),0))</f>
        <v>0</v>
      </c>
      <c r="E82" s="152">
        <f>IF(B82&lt;=$F$17,(E$19*(VLOOKUP($H$2,Лист2!$A:$N,12,0)-(B82-1)*VLOOKUP($H$2,Лист2!$A:$N,13,0))),0)</f>
        <v>0</v>
      </c>
      <c r="F82" s="153">
        <f>ROUND((E$19-SUM(D$31:D81))*F$11*30/365,2)</f>
        <v>0</v>
      </c>
      <c r="G82" s="196">
        <f t="shared" si="1"/>
        <v>0</v>
      </c>
      <c r="H82" s="196"/>
      <c r="I82" s="124"/>
      <c r="J82" s="124"/>
    </row>
    <row r="83" spans="1:10" x14ac:dyDescent="0.25">
      <c r="A83" s="59"/>
      <c r="B83" s="119">
        <v>53</v>
      </c>
      <c r="C83" s="122">
        <f t="shared" ca="1" si="0"/>
        <v>46093</v>
      </c>
      <c r="D83" s="151">
        <f>IF(B83&lt;$F$17,$F$20-E83-F83,IF(B83=$F$17,$E$19-SUM($D$30:D82),0))</f>
        <v>0</v>
      </c>
      <c r="E83" s="152">
        <f>IF(B83&lt;=$F$17,(E$19*(VLOOKUP($H$2,Лист2!$A:$N,12,0)-(B83-1)*VLOOKUP($H$2,Лист2!$A:$N,13,0))),0)</f>
        <v>0</v>
      </c>
      <c r="F83" s="153">
        <f>ROUND((E$19-SUM(D$31:D82))*F$11*30/365,2)</f>
        <v>0</v>
      </c>
      <c r="G83" s="196">
        <f t="shared" si="1"/>
        <v>0</v>
      </c>
      <c r="H83" s="196"/>
      <c r="I83" s="124"/>
      <c r="J83" s="124"/>
    </row>
    <row r="84" spans="1:10" x14ac:dyDescent="0.25">
      <c r="A84" s="59"/>
      <c r="B84" s="119">
        <v>54</v>
      </c>
      <c r="C84" s="122">
        <f t="shared" ca="1" si="0"/>
        <v>46124</v>
      </c>
      <c r="D84" s="151">
        <f>IF(B84&lt;$F$17,$F$20-E84-F84,IF(B84=$F$17,$E$19-SUM($D$30:D83),0))</f>
        <v>0</v>
      </c>
      <c r="E84" s="152">
        <f>IF(B84&lt;=$F$17,(E$19*(VLOOKUP($H$2,Лист2!$A:$N,12,0)-(B84-1)*VLOOKUP($H$2,Лист2!$A:$N,13,0))),0)</f>
        <v>0</v>
      </c>
      <c r="F84" s="153">
        <f>ROUND((E$19-SUM(D$31:D83))*F$11*30/365,2)</f>
        <v>0</v>
      </c>
      <c r="G84" s="196">
        <f t="shared" si="1"/>
        <v>0</v>
      </c>
      <c r="H84" s="196"/>
      <c r="I84" s="124"/>
      <c r="J84" s="124"/>
    </row>
    <row r="85" spans="1:10" x14ac:dyDescent="0.25">
      <c r="A85" s="59"/>
      <c r="B85" s="119">
        <v>55</v>
      </c>
      <c r="C85" s="122">
        <f t="shared" ca="1" si="0"/>
        <v>46154</v>
      </c>
      <c r="D85" s="151">
        <f>IF(B85&lt;$F$17,$F$20-E85-F85,IF(B85=$F$17,$E$19-SUM($D$30:D84),0))</f>
        <v>0</v>
      </c>
      <c r="E85" s="152">
        <f>IF(B85&lt;=$F$17,(E$19*(VLOOKUP($H$2,Лист2!$A:$N,12,0)-(B85-1)*VLOOKUP($H$2,Лист2!$A:$N,13,0))),0)</f>
        <v>0</v>
      </c>
      <c r="F85" s="153">
        <f>ROUND((E$19-SUM(D$31:D84))*F$11*30/365,2)</f>
        <v>0</v>
      </c>
      <c r="G85" s="196">
        <f t="shared" si="1"/>
        <v>0</v>
      </c>
      <c r="H85" s="196"/>
      <c r="I85" s="124"/>
      <c r="J85" s="124"/>
    </row>
    <row r="86" spans="1:10" x14ac:dyDescent="0.25">
      <c r="A86" s="59"/>
      <c r="B86" s="119">
        <v>56</v>
      </c>
      <c r="C86" s="122">
        <f t="shared" ca="1" si="0"/>
        <v>46185</v>
      </c>
      <c r="D86" s="151">
        <f>IF(B86&lt;$F$17,$F$20-E86-F86,IF(B86=$F$17,$E$19-SUM($D$30:D85),0))</f>
        <v>0</v>
      </c>
      <c r="E86" s="152">
        <f>IF(B86&lt;=$F$17,(E$19*(VLOOKUP($H$2,Лист2!$A:$N,12,0)-(B86-1)*VLOOKUP($H$2,Лист2!$A:$N,13,0))),0)</f>
        <v>0</v>
      </c>
      <c r="F86" s="153">
        <f>ROUND((E$19-SUM(D$31:D85))*F$11*30/365,2)</f>
        <v>0</v>
      </c>
      <c r="G86" s="196">
        <f t="shared" si="1"/>
        <v>0</v>
      </c>
      <c r="H86" s="196"/>
      <c r="I86" s="124"/>
      <c r="J86" s="124"/>
    </row>
    <row r="87" spans="1:10" x14ac:dyDescent="0.25">
      <c r="A87" s="59"/>
      <c r="B87" s="119">
        <v>57</v>
      </c>
      <c r="C87" s="122">
        <f t="shared" ca="1" si="0"/>
        <v>46215</v>
      </c>
      <c r="D87" s="151">
        <f>IF(B87&lt;$F$17,$F$20-E87-F87,IF(B87=$F$17,$E$19-SUM($D$30:D86),0))</f>
        <v>0</v>
      </c>
      <c r="E87" s="152">
        <f>IF(B87&lt;=$F$17,(E$19*(VLOOKUP($H$2,Лист2!$A:$N,12,0)-(B87-1)*VLOOKUP($H$2,Лист2!$A:$N,13,0))),0)</f>
        <v>0</v>
      </c>
      <c r="F87" s="153">
        <f>ROUND((E$19-SUM(D$31:D86))*F$11*30/365,2)</f>
        <v>0</v>
      </c>
      <c r="G87" s="196">
        <f t="shared" si="1"/>
        <v>0</v>
      </c>
      <c r="H87" s="196"/>
      <c r="I87" s="124"/>
      <c r="J87" s="124"/>
    </row>
    <row r="88" spans="1:10" x14ac:dyDescent="0.25">
      <c r="A88" s="59"/>
      <c r="B88" s="119">
        <v>58</v>
      </c>
      <c r="C88" s="122">
        <f t="shared" ca="1" si="0"/>
        <v>46246</v>
      </c>
      <c r="D88" s="151">
        <f>IF(B88&lt;$F$17,$F$20-E88-F88,IF(B88=$F$17,$E$19-SUM($D$30:D87),0))</f>
        <v>0</v>
      </c>
      <c r="E88" s="152">
        <f>IF(B88&lt;=$F$17,(E$19*(VLOOKUP($H$2,Лист2!$A:$N,12,0)-(B88-1)*VLOOKUP($H$2,Лист2!$A:$N,13,0))),0)</f>
        <v>0</v>
      </c>
      <c r="F88" s="153">
        <f>ROUND((E$19-SUM(D$31:D87))*F$11*30/365,2)</f>
        <v>0</v>
      </c>
      <c r="G88" s="196">
        <f t="shared" si="1"/>
        <v>0</v>
      </c>
      <c r="H88" s="196"/>
      <c r="I88" s="124"/>
      <c r="J88" s="124"/>
    </row>
    <row r="89" spans="1:10" x14ac:dyDescent="0.25">
      <c r="A89" s="59"/>
      <c r="B89" s="119">
        <v>59</v>
      </c>
      <c r="C89" s="122">
        <f t="shared" ca="1" si="0"/>
        <v>46277</v>
      </c>
      <c r="D89" s="151">
        <f>IF(B89&lt;$F$17,$F$20-E89-F89,IF(B89=$F$17,$E$19-SUM($D$30:D88),0))</f>
        <v>0</v>
      </c>
      <c r="E89" s="152">
        <f>IF(B89&lt;=$F$17,(E$19*(VLOOKUP($H$2,Лист2!$A:$N,12,0)-(B89-1)*VLOOKUP($H$2,Лист2!$A:$N,13,0))),0)</f>
        <v>0</v>
      </c>
      <c r="F89" s="153">
        <f>ROUND((E$19-SUM(D$31:D88))*F$11*30/365,2)</f>
        <v>0</v>
      </c>
      <c r="G89" s="196">
        <f t="shared" si="1"/>
        <v>0</v>
      </c>
      <c r="H89" s="196"/>
      <c r="I89" s="124"/>
      <c r="J89" s="124"/>
    </row>
    <row r="90" spans="1:10" ht="13.8" thickBot="1" x14ac:dyDescent="0.3">
      <c r="A90" s="59"/>
      <c r="B90" s="147">
        <v>60</v>
      </c>
      <c r="C90" s="148">
        <f t="shared" ca="1" si="0"/>
        <v>46307</v>
      </c>
      <c r="D90" s="154">
        <f>IF(B90&lt;$F$17,$F$20-E90-F90,IF(B90=$F$17,$E$19-SUM($D$30:D89),0))</f>
        <v>0</v>
      </c>
      <c r="E90" s="155">
        <f>IF(B90&lt;=$F$17,(E$19*(VLOOKUP($H$2,Лист2!$A:$N,12,0)-(B90-1)*VLOOKUP($H$2,Лист2!$A:$N,13,0))),0)</f>
        <v>0</v>
      </c>
      <c r="F90" s="156">
        <f>ROUND((E$19-SUM(D$31:D89))*F$11*30/365,2)</f>
        <v>0</v>
      </c>
      <c r="G90" s="209">
        <f t="shared" si="1"/>
        <v>0</v>
      </c>
      <c r="H90" s="209"/>
      <c r="I90" s="124"/>
      <c r="J90" s="124"/>
    </row>
    <row r="91" spans="1:10" ht="16.2" thickBot="1" x14ac:dyDescent="0.3">
      <c r="A91" s="59"/>
      <c r="B91" s="204" t="s">
        <v>1</v>
      </c>
      <c r="C91" s="205"/>
      <c r="D91" s="158">
        <f>SUM(D31:D90)</f>
        <v>200000</v>
      </c>
      <c r="E91" s="158">
        <f>SUM(E31:E90)</f>
        <v>0</v>
      </c>
      <c r="F91" s="158">
        <f>SUM(F31:F90)</f>
        <v>203873.56000000003</v>
      </c>
      <c r="G91" s="206">
        <f>SUM(G31:H90)</f>
        <v>403873.56</v>
      </c>
      <c r="H91" s="207"/>
      <c r="I91" s="124"/>
      <c r="J91" s="124"/>
    </row>
    <row r="92" spans="1:10" x14ac:dyDescent="0.25">
      <c r="A92" s="59"/>
      <c r="B92" s="2"/>
      <c r="C92" s="2"/>
      <c r="D92" s="2"/>
      <c r="E92" s="2"/>
      <c r="F92" s="2"/>
      <c r="G92" s="46"/>
      <c r="I92" s="124"/>
      <c r="J92" s="124"/>
    </row>
    <row r="93" spans="1:10" x14ac:dyDescent="0.25">
      <c r="A93" s="59"/>
      <c r="B93" s="2"/>
      <c r="C93" s="33"/>
      <c r="D93" s="34"/>
      <c r="E93" s="208" t="s">
        <v>3</v>
      </c>
      <c r="F93" s="208"/>
      <c r="G93" s="208"/>
      <c r="I93" s="124"/>
      <c r="J93" s="124"/>
    </row>
    <row r="94" spans="1:10" x14ac:dyDescent="0.25">
      <c r="A94" s="59"/>
      <c r="B94" s="2"/>
      <c r="C94" s="35"/>
      <c r="D94" s="2"/>
      <c r="E94" s="36" t="s">
        <v>4</v>
      </c>
      <c r="F94" s="37"/>
      <c r="G94" s="50"/>
      <c r="I94" s="124"/>
      <c r="J94" s="124"/>
    </row>
    <row r="95" spans="1:10" x14ac:dyDescent="0.25">
      <c r="A95" s="59"/>
      <c r="B95" s="60"/>
      <c r="C95" s="60"/>
      <c r="D95" s="60"/>
      <c r="E95" s="60"/>
      <c r="F95" s="60"/>
      <c r="G95" s="125"/>
      <c r="H95" s="61"/>
      <c r="I95" s="124"/>
      <c r="J95" s="124"/>
    </row>
    <row r="96" spans="1:10" x14ac:dyDescent="0.25">
      <c r="A96" s="59"/>
      <c r="B96" s="60"/>
      <c r="C96" s="60"/>
      <c r="D96" s="60"/>
      <c r="E96" s="60"/>
      <c r="F96" s="60"/>
      <c r="G96" s="125"/>
      <c r="H96" s="61"/>
      <c r="I96" s="62"/>
    </row>
    <row r="97" spans="1:9" x14ac:dyDescent="0.25">
      <c r="A97" s="59"/>
      <c r="B97" s="60"/>
      <c r="C97" s="60"/>
      <c r="D97" s="60"/>
      <c r="E97" s="60"/>
      <c r="F97" s="60"/>
      <c r="G97" s="125"/>
      <c r="H97" s="61"/>
      <c r="I97" s="62"/>
    </row>
    <row r="98" spans="1:9" x14ac:dyDescent="0.25">
      <c r="A98" s="59"/>
      <c r="B98" s="60"/>
      <c r="C98" s="60"/>
      <c r="D98" s="60"/>
      <c r="E98" s="60"/>
      <c r="F98" s="60"/>
      <c r="G98" s="125"/>
      <c r="H98" s="61"/>
      <c r="I98" s="62"/>
    </row>
  </sheetData>
  <sheetProtection password="B631" sheet="1" objects="1" scenarios="1" selectLockedCells="1"/>
  <dataConsolidate/>
  <mergeCells count="88">
    <mergeCell ref="H1:I1"/>
    <mergeCell ref="H2:I2"/>
    <mergeCell ref="F3:F4"/>
    <mergeCell ref="H3:I3"/>
    <mergeCell ref="B5:E5"/>
    <mergeCell ref="B11:E11"/>
    <mergeCell ref="G11:H11"/>
    <mergeCell ref="B13:E13"/>
    <mergeCell ref="G13:H13"/>
    <mergeCell ref="B15:E15"/>
    <mergeCell ref="G15:H15"/>
    <mergeCell ref="G30:H30"/>
    <mergeCell ref="B17:E17"/>
    <mergeCell ref="G17:H17"/>
    <mergeCell ref="B20:E20"/>
    <mergeCell ref="G20:H20"/>
    <mergeCell ref="B22:E22"/>
    <mergeCell ref="G22:H22"/>
    <mergeCell ref="B24:E24"/>
    <mergeCell ref="G24:H24"/>
    <mergeCell ref="B26:E26"/>
    <mergeCell ref="B28:H28"/>
    <mergeCell ref="G29:H29"/>
    <mergeCell ref="G42:H42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54:H54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66:H66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84:H84"/>
    <mergeCell ref="G78:H78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B7:E7"/>
    <mergeCell ref="B91:C91"/>
    <mergeCell ref="G91:H91"/>
    <mergeCell ref="E93:G93"/>
    <mergeCell ref="B9:E9"/>
    <mergeCell ref="G85:H85"/>
    <mergeCell ref="G86:H86"/>
    <mergeCell ref="G87:H87"/>
    <mergeCell ref="G88:H88"/>
    <mergeCell ref="G89:H89"/>
    <mergeCell ref="G90:H90"/>
    <mergeCell ref="G79:H79"/>
    <mergeCell ref="G80:H80"/>
    <mergeCell ref="G81:H81"/>
    <mergeCell ref="G82:H82"/>
    <mergeCell ref="G83:H83"/>
  </mergeCells>
  <dataValidations count="1">
    <dataValidation type="list" showInputMessage="1" showErrorMessage="1" sqref="H2:I2">
      <formula1>$K$14:$K$17</formula1>
    </dataValidation>
  </dataValidations>
  <pageMargins left="0.39370078740157483" right="0.35433070866141736" top="0.59055118110236227" bottom="0.59055118110236227" header="0.51181102362204722" footer="0.51181102362204722"/>
  <pageSetup paperSize="9" scale="66" firstPageNumber="2" orientation="portrait" verticalDpi="300" r:id="rId1"/>
  <headerFooter alignWithMargins="0"/>
  <rowBreaks count="1" manualBreakCount="1">
    <brk id="9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98"/>
  <sheetViews>
    <sheetView view="pageBreakPreview" zoomScaleNormal="70" zoomScaleSheetLayoutView="100" workbookViewId="0">
      <pane ySplit="4" topLeftCell="A5" activePane="bottomLeft" state="frozen"/>
      <selection activeCell="F4" sqref="F4"/>
      <selection pane="bottomLeft" activeCell="F5" sqref="F5"/>
    </sheetView>
  </sheetViews>
  <sheetFormatPr defaultColWidth="9.109375" defaultRowHeight="13.2" outlineLevelCol="1" x14ac:dyDescent="0.25"/>
  <cols>
    <col min="1" max="1" width="2.44140625" style="15" customWidth="1"/>
    <col min="2" max="2" width="9" style="4" customWidth="1"/>
    <col min="3" max="3" width="10.109375" style="4" customWidth="1"/>
    <col min="4" max="4" width="19.5546875" style="4" bestFit="1" customWidth="1"/>
    <col min="5" max="5" width="25.6640625" style="4" bestFit="1" customWidth="1"/>
    <col min="6" max="6" width="20.6640625" style="4" bestFit="1" customWidth="1"/>
    <col min="7" max="7" width="14.44140625" style="51" customWidth="1"/>
    <col min="8" max="8" width="11.44140625" style="45" customWidth="1"/>
    <col min="9" max="9" width="13.44140625" style="38" customWidth="1"/>
    <col min="10" max="10" width="2.109375" style="3" customWidth="1"/>
    <col min="11" max="12" width="9.109375" style="4" hidden="1" customWidth="1" outlineLevel="1"/>
    <col min="13" max="13" width="9.109375" style="113" collapsed="1"/>
    <col min="14" max="29" width="9.109375" style="113"/>
    <col min="30" max="16384" width="9.109375" style="4"/>
  </cols>
  <sheetData>
    <row r="1" spans="1:29" ht="19.8" customHeight="1" thickBot="1" x14ac:dyDescent="0.3">
      <c r="A1" s="59"/>
      <c r="B1" s="60"/>
      <c r="C1" s="60"/>
      <c r="D1" s="60"/>
      <c r="E1" s="116"/>
      <c r="F1" s="116"/>
      <c r="G1" s="105"/>
      <c r="H1" s="180" t="s">
        <v>40</v>
      </c>
      <c r="I1" s="180"/>
    </row>
    <row r="2" spans="1:29" s="43" customFormat="1" ht="12.75" customHeight="1" x14ac:dyDescent="0.25">
      <c r="A2" s="29"/>
      <c r="B2" s="117"/>
      <c r="C2" s="117"/>
      <c r="D2" s="117"/>
      <c r="E2" s="163">
        <f>VLOOKUP('Зустрічна пропозиція+відділення'!H2,Лист2!A:N,14,FALSE)</f>
        <v>869</v>
      </c>
      <c r="F2" s="118">
        <f>VLOOKUP(H$2,Лист2!$A:$G,2,0)</f>
        <v>75000</v>
      </c>
      <c r="G2" s="134">
        <f ca="1">TODAY()</f>
        <v>44481</v>
      </c>
      <c r="H2" s="181" t="s">
        <v>57</v>
      </c>
      <c r="I2" s="182"/>
      <c r="J2" s="52"/>
      <c r="M2" s="157"/>
      <c r="N2" s="157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43" customFormat="1" ht="13.5" customHeight="1" thickBot="1" x14ac:dyDescent="0.3">
      <c r="A3" s="29"/>
      <c r="B3" s="117"/>
      <c r="C3" s="117"/>
      <c r="D3" s="117"/>
      <c r="E3" s="162">
        <f>IF(F5&lt;E2,"x",IF(F5&gt;F2,"y",F5))+F7</f>
        <v>75000</v>
      </c>
      <c r="F3" s="183" t="str">
        <f>IF(E3="x","Збільшіть суму",IF(E3="y","Зменшіть суму",""))</f>
        <v/>
      </c>
      <c r="G3" s="67">
        <f>Назви!B33</f>
        <v>30.4</v>
      </c>
      <c r="H3" s="185" t="str">
        <f>VLOOKUP(H$2,Лист2!$A:$G,7,0)</f>
        <v>max. 75000 грн.</v>
      </c>
      <c r="I3" s="186"/>
      <c r="J3" s="5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43" customFormat="1" ht="9" customHeight="1" thickBot="1" x14ac:dyDescent="0.3">
      <c r="A4" s="29"/>
      <c r="B4" s="29"/>
      <c r="C4" s="29"/>
      <c r="D4" s="29"/>
      <c r="E4" s="127"/>
      <c r="F4" s="184"/>
      <c r="G4" s="44"/>
      <c r="H4" s="144"/>
      <c r="I4" s="52"/>
      <c r="J4" s="52"/>
      <c r="K4" s="6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21" customHeight="1" thickBot="1" x14ac:dyDescent="0.3">
      <c r="A5" s="6"/>
      <c r="B5" s="187" t="s">
        <v>42</v>
      </c>
      <c r="C5" s="188"/>
      <c r="D5" s="188"/>
      <c r="E5" s="189"/>
      <c r="F5" s="228">
        <v>75000</v>
      </c>
      <c r="G5" s="160" t="s">
        <v>23</v>
      </c>
      <c r="H5" s="161"/>
      <c r="I5" s="3"/>
      <c r="J5" s="53"/>
      <c r="K5" s="64"/>
    </row>
    <row r="6" spans="1:29" s="5" customFormat="1" ht="7.5" customHeight="1" thickBot="1" x14ac:dyDescent="0.3">
      <c r="A6" s="6"/>
      <c r="B6" s="7"/>
      <c r="C6" s="2"/>
      <c r="D6" s="7"/>
      <c r="E6" s="2"/>
      <c r="F6" s="8"/>
      <c r="G6" s="45"/>
      <c r="H6" s="46"/>
      <c r="I6" s="2"/>
      <c r="J6" s="54"/>
      <c r="K6" s="6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5" customFormat="1" ht="18" customHeight="1" thickBot="1" x14ac:dyDescent="0.3">
      <c r="A7" s="6"/>
      <c r="B7" s="187" t="s">
        <v>43</v>
      </c>
      <c r="C7" s="188"/>
      <c r="D7" s="188"/>
      <c r="E7" s="189"/>
      <c r="F7" s="159">
        <v>0</v>
      </c>
      <c r="G7" s="160" t="s">
        <v>23</v>
      </c>
      <c r="H7" s="46"/>
      <c r="I7" s="2"/>
      <c r="J7" s="54"/>
      <c r="K7" s="64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5" customFormat="1" ht="9" customHeight="1" x14ac:dyDescent="0.25">
      <c r="A8" s="6"/>
      <c r="B8" s="164"/>
      <c r="C8" s="2"/>
      <c r="D8" s="7"/>
      <c r="E8" s="2"/>
      <c r="F8" s="8"/>
      <c r="G8" s="45"/>
      <c r="H8" s="46"/>
      <c r="I8" s="2"/>
      <c r="J8" s="54"/>
      <c r="K8" s="6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s="5" customFormat="1" ht="13.8" customHeight="1" x14ac:dyDescent="0.25">
      <c r="A9" s="6"/>
      <c r="B9" s="176" t="s">
        <v>41</v>
      </c>
      <c r="C9" s="177"/>
      <c r="D9" s="177"/>
      <c r="E9" s="178"/>
      <c r="F9" s="17">
        <f>F5+F7+E18</f>
        <v>75000</v>
      </c>
      <c r="G9" s="45"/>
      <c r="H9" s="46"/>
      <c r="I9" s="2"/>
      <c r="J9" s="54"/>
      <c r="K9" s="64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1:29" s="5" customFormat="1" ht="7.5" customHeight="1" x14ac:dyDescent="0.25">
      <c r="A10" s="6"/>
      <c r="B10" s="7"/>
      <c r="C10" s="2"/>
      <c r="D10" s="7"/>
      <c r="E10" s="2"/>
      <c r="F10" s="8"/>
      <c r="G10" s="45"/>
      <c r="H10" s="46"/>
      <c r="I10" s="2"/>
      <c r="J10" s="54"/>
      <c r="K10" s="6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x14ac:dyDescent="0.25">
      <c r="A11" s="6"/>
      <c r="B11" s="176" t="str">
        <f>Назви!A3</f>
        <v>Процентна ставка, % річних</v>
      </c>
      <c r="C11" s="177">
        <f>Назви!B3</f>
        <v>0</v>
      </c>
      <c r="D11" s="177">
        <f>Назви!C3</f>
        <v>0</v>
      </c>
      <c r="E11" s="178">
        <f>Назви!D3</f>
        <v>0</v>
      </c>
      <c r="F11" s="39">
        <f>VLOOKUP(H$2,Лист2!$A:$G,4,0)</f>
        <v>0.55000000000000004</v>
      </c>
      <c r="G11" s="179"/>
      <c r="H11" s="179"/>
      <c r="I11" s="3"/>
      <c r="J11" s="53"/>
      <c r="K11" s="64"/>
    </row>
    <row r="12" spans="1:29" s="5" customFormat="1" ht="6.75" customHeight="1" x14ac:dyDescent="0.25">
      <c r="A12" s="6"/>
      <c r="B12" s="7"/>
      <c r="C12" s="2"/>
      <c r="D12" s="7"/>
      <c r="E12" s="2"/>
      <c r="F12" s="106">
        <v>1.0000000000000001E-5</v>
      </c>
      <c r="G12" s="45"/>
      <c r="H12" s="46"/>
      <c r="I12" s="2"/>
      <c r="J12" s="54"/>
      <c r="K12" s="64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ht="12.6" customHeight="1" x14ac:dyDescent="0.25">
      <c r="A13" s="6"/>
      <c r="B13" s="176" t="str">
        <f>Назви!A5</f>
        <v>Разовий страховий тариф, %</v>
      </c>
      <c r="C13" s="177">
        <f>Назви!B5</f>
        <v>0</v>
      </c>
      <c r="D13" s="177">
        <f>Назви!C5</f>
        <v>0</v>
      </c>
      <c r="E13" s="178">
        <f>Назви!D5</f>
        <v>0</v>
      </c>
      <c r="F13" s="39">
        <f>VLOOKUP(H$2,Лист2!$A:$G,5,0)</f>
        <v>0.12</v>
      </c>
      <c r="G13" s="179"/>
      <c r="H13" s="179"/>
      <c r="I13" s="3"/>
      <c r="J13" s="53"/>
      <c r="K13" s="131" t="str">
        <f>Лист2!A16</f>
        <v>Зустрічна пропозиція+відділення, 60 міс.</v>
      </c>
    </row>
    <row r="14" spans="1:29" s="5" customFormat="1" ht="6.6" customHeight="1" x14ac:dyDescent="0.25">
      <c r="A14" s="6"/>
      <c r="B14" s="7"/>
      <c r="C14" s="2"/>
      <c r="D14" s="7"/>
      <c r="E14" s="2"/>
      <c r="F14" s="47"/>
      <c r="G14" s="45"/>
      <c r="H14" s="46"/>
      <c r="I14" s="2"/>
      <c r="J14" s="54"/>
      <c r="K14" s="131" t="str">
        <f>Лист2!A17</f>
        <v>Зустрічна пропозиція+відділення, 48 міс.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x14ac:dyDescent="0.25">
      <c r="A15" s="6"/>
      <c r="B15" s="176" t="str">
        <f>Назви!A7</f>
        <v xml:space="preserve">Щомісячна плата за обслуговування кредитної заборгованості, % </v>
      </c>
      <c r="C15" s="177">
        <f>Назви!B7</f>
        <v>0</v>
      </c>
      <c r="D15" s="177">
        <f>Назви!C7</f>
        <v>0</v>
      </c>
      <c r="E15" s="178">
        <f>Назви!D7</f>
        <v>0</v>
      </c>
      <c r="F15" s="39">
        <f>VLOOKUP(H$2,Лист2!$A:$G,6,0)</f>
        <v>0</v>
      </c>
      <c r="G15" s="179"/>
      <c r="H15" s="179"/>
      <c r="I15" s="3"/>
      <c r="J15" s="53"/>
      <c r="K15" s="131" t="str">
        <f>Лист2!A18</f>
        <v>Зустрічна пропозиція+відділення, 36 міс.</v>
      </c>
    </row>
    <row r="16" spans="1:29" s="5" customFormat="1" ht="6.75" customHeight="1" x14ac:dyDescent="0.25">
      <c r="A16" s="6"/>
      <c r="B16" s="7"/>
      <c r="C16" s="2"/>
      <c r="D16" s="7"/>
      <c r="E16" s="2"/>
      <c r="F16" s="12"/>
      <c r="G16" s="45"/>
      <c r="H16" s="46"/>
      <c r="I16" s="2"/>
      <c r="J16" s="54"/>
      <c r="K16" s="131" t="str">
        <f>Лист2!A19</f>
        <v>Зустрічна пропозиція+відділення, 24 міс.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</row>
    <row r="17" spans="1:29" x14ac:dyDescent="0.25">
      <c r="A17" s="6"/>
      <c r="B17" s="176" t="str">
        <f>Назви!A9</f>
        <v>Термін кредитування (міс.)</v>
      </c>
      <c r="C17" s="177">
        <f>Назви!B9</f>
        <v>0</v>
      </c>
      <c r="D17" s="177">
        <f>Назви!C9</f>
        <v>0</v>
      </c>
      <c r="E17" s="178">
        <f>Назви!D9</f>
        <v>0</v>
      </c>
      <c r="F17" s="63">
        <f>VLOOKUP(H$2,Лист2!$A:$G,3,0)</f>
        <v>60</v>
      </c>
      <c r="G17" s="179"/>
      <c r="H17" s="179"/>
      <c r="I17" s="3"/>
      <c r="J17" s="53"/>
      <c r="K17" s="131" t="str">
        <f>Лист2!A20</f>
        <v>Зустрічна пропозиція+відділення, 18 міс.</v>
      </c>
    </row>
    <row r="18" spans="1:29" s="15" customFormat="1" ht="7.8" customHeight="1" x14ac:dyDescent="0.25">
      <c r="A18" s="6"/>
      <c r="B18" s="13"/>
      <c r="C18" s="58"/>
      <c r="D18" s="110"/>
      <c r="E18" s="132">
        <f>F7*F13</f>
        <v>0</v>
      </c>
      <c r="F18" s="117"/>
      <c r="G18" s="112"/>
      <c r="H18" s="14"/>
      <c r="I18" s="1"/>
      <c r="J18" s="54"/>
      <c r="K18" s="131" t="str">
        <f>Лист2!A21</f>
        <v>Зустрічна пропозиція+відділення, 12 міс.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5" customFormat="1" ht="11.25" customHeight="1" x14ac:dyDescent="0.25">
      <c r="A19" s="6"/>
      <c r="B19" s="13"/>
      <c r="C19" s="58"/>
      <c r="D19" s="110"/>
      <c r="E19" s="133">
        <f>E18+E3</f>
        <v>75000</v>
      </c>
      <c r="F19" s="117"/>
      <c r="G19" s="112"/>
      <c r="H19" s="16"/>
      <c r="I19" s="1"/>
      <c r="J19" s="116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s="15" customFormat="1" x14ac:dyDescent="0.25">
      <c r="A20" s="6"/>
      <c r="B20" s="190" t="str">
        <f>Назви!A12</f>
        <v>Орієнтовний платіж, грн.</v>
      </c>
      <c r="C20" s="191">
        <f>Назви!B12</f>
        <v>0</v>
      </c>
      <c r="D20" s="191">
        <f>Назви!C12</f>
        <v>0</v>
      </c>
      <c r="E20" s="192">
        <f>Назви!D12</f>
        <v>0</v>
      </c>
      <c r="F20" s="17">
        <f>PMT(F11/12,F17,-E19)+F15*E19</f>
        <v>3688.1450962314766</v>
      </c>
      <c r="G20" s="193"/>
      <c r="H20" s="194"/>
      <c r="I20" s="123"/>
      <c r="J20" s="54"/>
      <c r="K20" s="131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s="15" customFormat="1" ht="7.2" customHeight="1" x14ac:dyDescent="0.25">
      <c r="A21" s="6"/>
      <c r="B21" s="19"/>
      <c r="C21" s="19"/>
      <c r="D21" s="19"/>
      <c r="E21" s="19"/>
      <c r="F21" s="20"/>
      <c r="G21" s="21"/>
      <c r="H21" s="22"/>
      <c r="I21" s="1"/>
      <c r="J21" s="55"/>
      <c r="K21" s="131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15" customFormat="1" x14ac:dyDescent="0.25">
      <c r="A22" s="6"/>
      <c r="B22" s="190" t="str">
        <f>Назви!A14</f>
        <v>Орієнтовні загальні витрати за кредитом, грн.</v>
      </c>
      <c r="C22" s="191">
        <f>Назви!B14</f>
        <v>0</v>
      </c>
      <c r="D22" s="191">
        <f>Назви!C14</f>
        <v>0</v>
      </c>
      <c r="E22" s="192">
        <f>Назви!D14</f>
        <v>0</v>
      </c>
      <c r="F22" s="17">
        <f>G91-E3</f>
        <v>134390.64000000007</v>
      </c>
      <c r="G22" s="195"/>
      <c r="H22" s="195"/>
      <c r="I22" s="1"/>
      <c r="J22" s="55"/>
      <c r="K22" s="131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s="15" customFormat="1" ht="7.2" customHeight="1" x14ac:dyDescent="0.25">
      <c r="A23" s="6"/>
      <c r="B23" s="23"/>
      <c r="C23" s="23"/>
      <c r="D23" s="23"/>
      <c r="E23" s="23"/>
      <c r="F23" s="24"/>
      <c r="G23" s="21"/>
      <c r="H23" s="22"/>
      <c r="I23" s="1"/>
      <c r="J23" s="55"/>
      <c r="K23" s="131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s="15" customFormat="1" x14ac:dyDescent="0.25">
      <c r="A24" s="6"/>
      <c r="B24" s="190" t="str">
        <f>Назви!A16</f>
        <v>Орієнтовна загальна вартість кредиту, грн.</v>
      </c>
      <c r="C24" s="191">
        <f>Назви!B16</f>
        <v>0</v>
      </c>
      <c r="D24" s="191">
        <f>Назви!C16</f>
        <v>0</v>
      </c>
      <c r="E24" s="192">
        <f>Назви!D16</f>
        <v>0</v>
      </c>
      <c r="F24" s="17">
        <f>E3+F22</f>
        <v>209390.64000000007</v>
      </c>
      <c r="G24" s="179"/>
      <c r="H24" s="179"/>
      <c r="I24" s="1"/>
      <c r="J24" s="55"/>
      <c r="K24" s="131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15" customFormat="1" ht="7.2" customHeight="1" x14ac:dyDescent="0.25">
      <c r="A25" s="6"/>
      <c r="B25" s="19"/>
      <c r="C25" s="19"/>
      <c r="D25" s="19"/>
      <c r="E25" s="19"/>
      <c r="F25" s="26"/>
      <c r="G25" s="21"/>
      <c r="H25" s="22"/>
      <c r="I25" s="1"/>
      <c r="J25" s="1"/>
      <c r="K25" s="131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s="15" customFormat="1" x14ac:dyDescent="0.25">
      <c r="A26" s="6"/>
      <c r="B26" s="190" t="str">
        <f>Назви!A18</f>
        <v>Орієнтовна реальна річна процентна ставка, %</v>
      </c>
      <c r="C26" s="191"/>
      <c r="D26" s="191"/>
      <c r="E26" s="192"/>
      <c r="F26" s="39">
        <f ca="1">XIRR(G30:G90,C30:C90)</f>
        <v>0.69952057600021367</v>
      </c>
      <c r="G26" s="143"/>
      <c r="H26" s="22"/>
      <c r="I26" s="1"/>
      <c r="J26" s="1"/>
      <c r="K26" s="131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</row>
    <row r="27" spans="1:29" s="15" customFormat="1" ht="13.8" thickBot="1" x14ac:dyDescent="0.3">
      <c r="A27" s="6"/>
      <c r="B27" s="30"/>
      <c r="C27" s="19"/>
      <c r="D27" s="121"/>
      <c r="E27" s="31"/>
      <c r="F27" s="32"/>
      <c r="G27" s="22"/>
      <c r="H27" s="21"/>
      <c r="I27" s="1"/>
      <c r="J27" s="1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9" ht="18" thickBot="1" x14ac:dyDescent="0.3">
      <c r="A28" s="1"/>
      <c r="B28" s="197" t="str">
        <f>Назви!A27</f>
        <v>Орієнтовний порядок повернення кредиту</v>
      </c>
      <c r="C28" s="198"/>
      <c r="D28" s="198"/>
      <c r="E28" s="198"/>
      <c r="F28" s="198"/>
      <c r="G28" s="198"/>
      <c r="H28" s="199"/>
      <c r="I28" s="3"/>
      <c r="K28" s="131"/>
    </row>
    <row r="29" spans="1:29" ht="31.2" customHeight="1" thickBot="1" x14ac:dyDescent="0.3">
      <c r="A29" s="1"/>
      <c r="B29" s="165" t="s">
        <v>39</v>
      </c>
      <c r="C29" s="165" t="str">
        <f>Назви!A28</f>
        <v>Місяць</v>
      </c>
      <c r="D29" s="111" t="str">
        <f>Назви!C28</f>
        <v>Погашення суми кредиту, грн.</v>
      </c>
      <c r="E29" s="111" t="str">
        <f>Назви!D28</f>
        <v>Розмір щомісячної плати за обслуговування кредитної заборгованості, грн.</v>
      </c>
      <c r="F29" s="111" t="str">
        <f>Назви!E28</f>
        <v>Проценти за користування кредитом, грн.</v>
      </c>
      <c r="G29" s="200" t="str">
        <f>Назви!F28</f>
        <v>Сума платежу за розрахунковий період, грн.</v>
      </c>
      <c r="H29" s="201"/>
      <c r="I29" s="3"/>
      <c r="K29" s="131"/>
    </row>
    <row r="30" spans="1:29" ht="12.6" hidden="1" customHeight="1" thickBot="1" x14ac:dyDescent="0.3">
      <c r="A30" s="1"/>
      <c r="B30" s="107">
        <v>0</v>
      </c>
      <c r="C30" s="142">
        <f ca="1">TODAY()</f>
        <v>44481</v>
      </c>
      <c r="D30" s="108"/>
      <c r="E30" s="109"/>
      <c r="F30" s="108"/>
      <c r="G30" s="202">
        <f>-1*E3</f>
        <v>-75000</v>
      </c>
      <c r="H30" s="203"/>
      <c r="I30" s="3"/>
      <c r="K30" s="131"/>
    </row>
    <row r="31" spans="1:29" x14ac:dyDescent="0.25">
      <c r="A31" s="1">
        <v>1</v>
      </c>
      <c r="B31" s="120">
        <v>1</v>
      </c>
      <c r="C31" s="126">
        <f ca="1">DATE(YEAR(C30),MONTH(C30)+1,DAY(C30))</f>
        <v>44512</v>
      </c>
      <c r="D31" s="149">
        <f>IF(B31&lt;$F$17,$F$20-E31-F31,IF(B31=$F$17,$E$19-SUM($D$30:D30),0))</f>
        <v>297.73509623147675</v>
      </c>
      <c r="E31" s="150">
        <f>IF(B31&lt;=$F$17,(E$19*(VLOOKUP($H$2,Лист2!$A:$N,12,0)-(B31-1)*VLOOKUP($H$2,Лист2!$A:$N,13,0))),0)</f>
        <v>0</v>
      </c>
      <c r="F31" s="150">
        <f>ROUND(E$19*F$11*30/365,2)</f>
        <v>3390.41</v>
      </c>
      <c r="G31" s="196">
        <f>SUM(D31:F31)</f>
        <v>3688.1450962314766</v>
      </c>
      <c r="H31" s="196"/>
      <c r="I31" s="3"/>
      <c r="K31" s="131"/>
    </row>
    <row r="32" spans="1:29" x14ac:dyDescent="0.25">
      <c r="A32" s="1">
        <v>2</v>
      </c>
      <c r="B32" s="119">
        <v>2</v>
      </c>
      <c r="C32" s="122">
        <f t="shared" ref="C32:C90" ca="1" si="0">DATE(YEAR(C31),MONTH(C31)+1,DAY(C31))</f>
        <v>44542</v>
      </c>
      <c r="D32" s="151">
        <f>IF(B32&lt;$F$17,$F$20-E32-F32,IF(B32=$F$17,$E$19-SUM($D$30:D31),0))</f>
        <v>311.19509623147678</v>
      </c>
      <c r="E32" s="152">
        <f>IF(B32&lt;=$F$17,(E$19*(VLOOKUP($H$2,Лист2!$A:$N,12,0)-(B32-1)*VLOOKUP($H$2,Лист2!$A:$N,13,0))),0)</f>
        <v>0</v>
      </c>
      <c r="F32" s="153">
        <f>ROUND((E$19-SUM(D$31:D31))*F$11*30/365,2)</f>
        <v>3376.95</v>
      </c>
      <c r="G32" s="196">
        <f t="shared" ref="G32:G90" si="1">SUM(D32:F32)</f>
        <v>3688.1450962314766</v>
      </c>
      <c r="H32" s="196"/>
      <c r="I32" s="3"/>
      <c r="K32" s="131"/>
    </row>
    <row r="33" spans="1:11" x14ac:dyDescent="0.25">
      <c r="A33" s="1">
        <v>3</v>
      </c>
      <c r="B33" s="119">
        <v>3</v>
      </c>
      <c r="C33" s="122">
        <f t="shared" ca="1" si="0"/>
        <v>44573</v>
      </c>
      <c r="D33" s="151">
        <f>IF(B33&lt;$F$17,$F$20-E33-F33,IF(B33=$F$17,$E$19-SUM($D$30:D32),0))</f>
        <v>325.26509623147649</v>
      </c>
      <c r="E33" s="152">
        <f>IF(B33&lt;=$F$17,(E$19*(VLOOKUP($H$2,Лист2!$A:$N,12,0)-(B33-1)*VLOOKUP($H$2,Лист2!$A:$N,13,0))),0)</f>
        <v>0</v>
      </c>
      <c r="F33" s="153">
        <f>ROUND((E$19-SUM(D$31:D32))*F$11*30/365,2)</f>
        <v>3362.88</v>
      </c>
      <c r="G33" s="196">
        <f t="shared" si="1"/>
        <v>3688.1450962314766</v>
      </c>
      <c r="H33" s="196"/>
      <c r="I33" s="3"/>
      <c r="K33" s="131"/>
    </row>
    <row r="34" spans="1:11" x14ac:dyDescent="0.25">
      <c r="A34" s="1">
        <v>4</v>
      </c>
      <c r="B34" s="119">
        <v>4</v>
      </c>
      <c r="C34" s="122">
        <f t="shared" ca="1" si="0"/>
        <v>44604</v>
      </c>
      <c r="D34" s="151">
        <f>IF(B34&lt;$F$17,$F$20-E34-F34,IF(B34=$F$17,$E$19-SUM($D$30:D33),0))</f>
        <v>339.96509623147676</v>
      </c>
      <c r="E34" s="152">
        <f>IF(B34&lt;=$F$17,(E$19*(VLOOKUP($H$2,Лист2!$A:$N,12,0)-(B34-1)*VLOOKUP($H$2,Лист2!$A:$N,13,0))),0)</f>
        <v>0</v>
      </c>
      <c r="F34" s="153">
        <f>ROUND((E$19-SUM(D$31:D33))*F$11*30/365,2)</f>
        <v>3348.18</v>
      </c>
      <c r="G34" s="196">
        <f t="shared" si="1"/>
        <v>3688.1450962314766</v>
      </c>
      <c r="H34" s="196"/>
      <c r="I34" s="3"/>
      <c r="K34" s="131"/>
    </row>
    <row r="35" spans="1:11" x14ac:dyDescent="0.25">
      <c r="A35" s="1">
        <v>5</v>
      </c>
      <c r="B35" s="119">
        <v>5</v>
      </c>
      <c r="C35" s="122">
        <f t="shared" ca="1" si="0"/>
        <v>44632</v>
      </c>
      <c r="D35" s="151">
        <f>IF(B35&lt;$F$17,$F$20-E35-F35,IF(B35=$F$17,$E$19-SUM($D$30:D34),0))</f>
        <v>355.33509623147665</v>
      </c>
      <c r="E35" s="152">
        <f>IF(B35&lt;=$F$17,(E$19*(VLOOKUP($H$2,Лист2!$A:$N,12,0)-(B35-1)*VLOOKUP($H$2,Лист2!$A:$N,13,0))),0)</f>
        <v>0</v>
      </c>
      <c r="F35" s="153">
        <f>ROUND((E$19-SUM(D$31:D34))*F$11*30/365,2)</f>
        <v>3332.81</v>
      </c>
      <c r="G35" s="196">
        <f t="shared" si="1"/>
        <v>3688.1450962314766</v>
      </c>
      <c r="H35" s="196"/>
      <c r="I35" s="3"/>
      <c r="K35" s="131"/>
    </row>
    <row r="36" spans="1:11" x14ac:dyDescent="0.25">
      <c r="A36" s="1">
        <v>6</v>
      </c>
      <c r="B36" s="119">
        <v>6</v>
      </c>
      <c r="C36" s="122">
        <f t="shared" ca="1" si="0"/>
        <v>44663</v>
      </c>
      <c r="D36" s="151">
        <f>IF(B36&lt;$F$17,$F$20-E36-F36,IF(B36=$F$17,$E$19-SUM($D$30:D35),0))</f>
        <v>371.3950962314766</v>
      </c>
      <c r="E36" s="152">
        <f>IF(B36&lt;=$F$17,(E$19*(VLOOKUP($H$2,Лист2!$A:$N,12,0)-(B36-1)*VLOOKUP($H$2,Лист2!$A:$N,13,0))),0)</f>
        <v>0</v>
      </c>
      <c r="F36" s="153">
        <f>ROUND((E$19-SUM(D$31:D35))*F$11*30/365,2)</f>
        <v>3316.75</v>
      </c>
      <c r="G36" s="196">
        <f t="shared" si="1"/>
        <v>3688.1450962314766</v>
      </c>
      <c r="H36" s="196"/>
      <c r="I36" s="3"/>
      <c r="K36" s="131"/>
    </row>
    <row r="37" spans="1:11" x14ac:dyDescent="0.25">
      <c r="A37" s="1">
        <v>7</v>
      </c>
      <c r="B37" s="119">
        <v>7</v>
      </c>
      <c r="C37" s="122">
        <f t="shared" ca="1" si="0"/>
        <v>44693</v>
      </c>
      <c r="D37" s="151">
        <f>IF(B37&lt;$F$17,$F$20-E37-F37,IF(B37=$F$17,$E$19-SUM($D$30:D36),0))</f>
        <v>388.18509623147656</v>
      </c>
      <c r="E37" s="152">
        <f>IF(B37&lt;=$F$17,(E$19*(VLOOKUP($H$2,Лист2!$A:$N,12,0)-(B37-1)*VLOOKUP($H$2,Лист2!$A:$N,13,0))),0)</f>
        <v>0</v>
      </c>
      <c r="F37" s="153">
        <f>ROUND((E$19-SUM(D$31:D36))*F$11*30/365,2)</f>
        <v>3299.96</v>
      </c>
      <c r="G37" s="196">
        <f t="shared" si="1"/>
        <v>3688.1450962314766</v>
      </c>
      <c r="H37" s="196"/>
      <c r="I37" s="3"/>
      <c r="K37" s="131"/>
    </row>
    <row r="38" spans="1:11" x14ac:dyDescent="0.25">
      <c r="A38" s="1">
        <v>8</v>
      </c>
      <c r="B38" s="119">
        <v>8</v>
      </c>
      <c r="C38" s="122">
        <f t="shared" ca="1" si="0"/>
        <v>44724</v>
      </c>
      <c r="D38" s="151">
        <f>IF(B38&lt;$F$17,$F$20-E38-F38,IF(B38=$F$17,$E$19-SUM($D$30:D37),0))</f>
        <v>405.73509623147675</v>
      </c>
      <c r="E38" s="152">
        <f>IF(B38&lt;=$F$17,(E$19*(VLOOKUP($H$2,Лист2!$A:$N,12,0)-(B38-1)*VLOOKUP($H$2,Лист2!$A:$N,13,0))),0)</f>
        <v>0</v>
      </c>
      <c r="F38" s="153">
        <f>ROUND((E$19-SUM(D$31:D37))*F$11*30/365,2)</f>
        <v>3282.41</v>
      </c>
      <c r="G38" s="196">
        <f t="shared" si="1"/>
        <v>3688.1450962314766</v>
      </c>
      <c r="H38" s="196"/>
      <c r="I38" s="3"/>
      <c r="K38" s="131"/>
    </row>
    <row r="39" spans="1:11" x14ac:dyDescent="0.25">
      <c r="A39" s="1">
        <v>9</v>
      </c>
      <c r="B39" s="119">
        <v>9</v>
      </c>
      <c r="C39" s="122">
        <f t="shared" ca="1" si="0"/>
        <v>44754</v>
      </c>
      <c r="D39" s="151">
        <f>IF(B39&lt;$F$17,$F$20-E39-F39,IF(B39=$F$17,$E$19-SUM($D$30:D38),0))</f>
        <v>424.07509623147644</v>
      </c>
      <c r="E39" s="152">
        <f>IF(B39&lt;=$F$17,(E$19*(VLOOKUP($H$2,Лист2!$A:$N,12,0)-(B39-1)*VLOOKUP($H$2,Лист2!$A:$N,13,0))),0)</f>
        <v>0</v>
      </c>
      <c r="F39" s="153">
        <f>ROUND((E$19-SUM(D$31:D38))*F$11*30/365,2)</f>
        <v>3264.07</v>
      </c>
      <c r="G39" s="196">
        <f t="shared" si="1"/>
        <v>3688.1450962314766</v>
      </c>
      <c r="H39" s="196"/>
      <c r="I39" s="3"/>
      <c r="K39" s="131"/>
    </row>
    <row r="40" spans="1:11" x14ac:dyDescent="0.25">
      <c r="A40" s="1">
        <v>10</v>
      </c>
      <c r="B40" s="119">
        <v>10</v>
      </c>
      <c r="C40" s="122">
        <f t="shared" ca="1" si="0"/>
        <v>44785</v>
      </c>
      <c r="D40" s="151">
        <f>IF(B40&lt;$F$17,$F$20-E40-F40,IF(B40=$F$17,$E$19-SUM($D$30:D39),0))</f>
        <v>443.24509623147651</v>
      </c>
      <c r="E40" s="152">
        <f>IF(B40&lt;=$F$17,(E$19*(VLOOKUP($H$2,Лист2!$A:$N,12,0)-(B40-1)*VLOOKUP($H$2,Лист2!$A:$N,13,0))),0)</f>
        <v>0</v>
      </c>
      <c r="F40" s="153">
        <f>ROUND((E$19-SUM(D$31:D39))*F$11*30/365,2)</f>
        <v>3244.9</v>
      </c>
      <c r="G40" s="196">
        <f t="shared" si="1"/>
        <v>3688.1450962314766</v>
      </c>
      <c r="H40" s="196"/>
      <c r="I40" s="3"/>
      <c r="K40" s="131"/>
    </row>
    <row r="41" spans="1:11" x14ac:dyDescent="0.25">
      <c r="A41" s="1">
        <v>22</v>
      </c>
      <c r="B41" s="119">
        <v>11</v>
      </c>
      <c r="C41" s="122">
        <f t="shared" ca="1" si="0"/>
        <v>44816</v>
      </c>
      <c r="D41" s="151">
        <f>IF(B41&lt;$F$17,$F$20-E41-F41,IF(B41=$F$17,$E$19-SUM($D$30:D40),0))</f>
        <v>463.28509623147647</v>
      </c>
      <c r="E41" s="152">
        <f>IF(B41&lt;=$F$17,(E$19*(VLOOKUP($H$2,Лист2!$A:$N,12,0)-(B41-1)*VLOOKUP($H$2,Лист2!$A:$N,13,0))),0)</f>
        <v>0</v>
      </c>
      <c r="F41" s="153">
        <f>ROUND((E$19-SUM(D$31:D40))*F$11*30/365,2)</f>
        <v>3224.86</v>
      </c>
      <c r="G41" s="196">
        <f t="shared" si="1"/>
        <v>3688.1450962314766</v>
      </c>
      <c r="H41" s="196"/>
      <c r="I41" s="3"/>
      <c r="K41" s="131"/>
    </row>
    <row r="42" spans="1:11" x14ac:dyDescent="0.25">
      <c r="A42" s="1">
        <v>22</v>
      </c>
      <c r="B42" s="119">
        <v>12</v>
      </c>
      <c r="C42" s="122">
        <f t="shared" ca="1" si="0"/>
        <v>44846</v>
      </c>
      <c r="D42" s="151">
        <f>IF(B42&lt;$F$17,$F$20-E42-F42,IF(B42=$F$17,$E$19-SUM($D$30:D41),0))</f>
        <v>484.22509623147653</v>
      </c>
      <c r="E42" s="152">
        <f>IF(B42&lt;=$F$17,(E$19*(VLOOKUP($H$2,Лист2!$A:$N,12,0)-(B42-1)*VLOOKUP($H$2,Лист2!$A:$N,13,0))),0)</f>
        <v>0</v>
      </c>
      <c r="F42" s="153">
        <f>ROUND((E$19-SUM(D$31:D41))*F$11*30/365,2)</f>
        <v>3203.92</v>
      </c>
      <c r="G42" s="196">
        <f t="shared" si="1"/>
        <v>3688.1450962314766</v>
      </c>
      <c r="H42" s="196"/>
      <c r="I42" s="3"/>
      <c r="K42" s="131"/>
    </row>
    <row r="43" spans="1:11" x14ac:dyDescent="0.25">
      <c r="A43" s="1">
        <v>13</v>
      </c>
      <c r="B43" s="119">
        <v>13</v>
      </c>
      <c r="C43" s="122">
        <f t="shared" ca="1" si="0"/>
        <v>44877</v>
      </c>
      <c r="D43" s="151">
        <f>IF(B43&lt;$F$17,$F$20-E43-F43,IF(B43=$F$17,$E$19-SUM($D$30:D42),0))</f>
        <v>506.1150962314764</v>
      </c>
      <c r="E43" s="152">
        <f>IF(B43&lt;=$F$17,(E$19*(VLOOKUP($H$2,Лист2!$A:$N,12,0)-(B43-1)*VLOOKUP($H$2,Лист2!$A:$N,13,0))),0)</f>
        <v>0</v>
      </c>
      <c r="F43" s="153">
        <f>ROUND((E$19-SUM(D$31:D42))*F$11*30/365,2)</f>
        <v>3182.03</v>
      </c>
      <c r="G43" s="196">
        <f t="shared" si="1"/>
        <v>3688.1450962314766</v>
      </c>
      <c r="H43" s="196"/>
      <c r="I43" s="3"/>
      <c r="K43" s="131"/>
    </row>
    <row r="44" spans="1:11" x14ac:dyDescent="0.25">
      <c r="A44" s="1">
        <v>14</v>
      </c>
      <c r="B44" s="119">
        <v>14</v>
      </c>
      <c r="C44" s="122">
        <f t="shared" ca="1" si="0"/>
        <v>44907</v>
      </c>
      <c r="D44" s="151">
        <f>IF(B44&lt;$F$17,$F$20-E44-F44,IF(B44=$F$17,$E$19-SUM($D$30:D43),0))</f>
        <v>528.99509623147651</v>
      </c>
      <c r="E44" s="152">
        <f>IF(B44&lt;=$F$17,(E$19*(VLOOKUP($H$2,Лист2!$A:$N,12,0)-(B44-1)*VLOOKUP($H$2,Лист2!$A:$N,13,0))),0)</f>
        <v>0</v>
      </c>
      <c r="F44" s="153">
        <f>ROUND((E$19-SUM(D$31:D43))*F$11*30/365,2)</f>
        <v>3159.15</v>
      </c>
      <c r="G44" s="196">
        <f t="shared" si="1"/>
        <v>3688.1450962314766</v>
      </c>
      <c r="H44" s="196"/>
      <c r="I44" s="3"/>
      <c r="K44" s="131"/>
    </row>
    <row r="45" spans="1:11" x14ac:dyDescent="0.25">
      <c r="A45" s="1">
        <v>15</v>
      </c>
      <c r="B45" s="119">
        <v>15</v>
      </c>
      <c r="C45" s="122">
        <f t="shared" ca="1" si="0"/>
        <v>44938</v>
      </c>
      <c r="D45" s="151">
        <f>IF(B45&lt;$F$17,$F$20-E45-F45,IF(B45=$F$17,$E$19-SUM($D$30:D44),0))</f>
        <v>552.90509623147682</v>
      </c>
      <c r="E45" s="152">
        <f>IF(B45&lt;=$F$17,(E$19*(VLOOKUP($H$2,Лист2!$A:$N,12,0)-(B45-1)*VLOOKUP($H$2,Лист2!$A:$N,13,0))),0)</f>
        <v>0</v>
      </c>
      <c r="F45" s="153">
        <f>ROUND((E$19-SUM(D$31:D44))*F$11*30/365,2)</f>
        <v>3135.24</v>
      </c>
      <c r="G45" s="196">
        <f t="shared" si="1"/>
        <v>3688.1450962314766</v>
      </c>
      <c r="H45" s="196"/>
      <c r="I45" s="3"/>
      <c r="K45" s="131"/>
    </row>
    <row r="46" spans="1:11" x14ac:dyDescent="0.25">
      <c r="A46" s="1">
        <v>16</v>
      </c>
      <c r="B46" s="119">
        <v>16</v>
      </c>
      <c r="C46" s="122">
        <f t="shared" ca="1" si="0"/>
        <v>44969</v>
      </c>
      <c r="D46" s="151">
        <f>IF(B46&lt;$F$17,$F$20-E46-F46,IF(B46=$F$17,$E$19-SUM($D$30:D45),0))</f>
        <v>577.90509623147682</v>
      </c>
      <c r="E46" s="152">
        <f>IF(B46&lt;=$F$17,(E$19*(VLOOKUP($H$2,Лист2!$A:$N,12,0)-(B46-1)*VLOOKUP($H$2,Лист2!$A:$N,13,0))),0)</f>
        <v>0</v>
      </c>
      <c r="F46" s="153">
        <f>ROUND((E$19-SUM(D$31:D45))*F$11*30/365,2)</f>
        <v>3110.24</v>
      </c>
      <c r="G46" s="196">
        <f t="shared" si="1"/>
        <v>3688.1450962314766</v>
      </c>
      <c r="H46" s="196"/>
      <c r="I46" s="3"/>
      <c r="K46" s="131"/>
    </row>
    <row r="47" spans="1:11" x14ac:dyDescent="0.25">
      <c r="A47" s="1">
        <v>22</v>
      </c>
      <c r="B47" s="119">
        <v>17</v>
      </c>
      <c r="C47" s="122">
        <f t="shared" ca="1" si="0"/>
        <v>44997</v>
      </c>
      <c r="D47" s="151">
        <f>IF(B47&lt;$F$17,$F$20-E47-F47,IF(B47=$F$17,$E$19-SUM($D$30:D46),0))</f>
        <v>604.02509623147671</v>
      </c>
      <c r="E47" s="152">
        <f>IF(B47&lt;=$F$17,(E$19*(VLOOKUP($H$2,Лист2!$A:$N,12,0)-(B47-1)*VLOOKUP($H$2,Лист2!$A:$N,13,0))),0)</f>
        <v>0</v>
      </c>
      <c r="F47" s="153">
        <f>ROUND((E$19-SUM(D$31:D46))*F$11*30/365,2)</f>
        <v>3084.12</v>
      </c>
      <c r="G47" s="196">
        <f t="shared" si="1"/>
        <v>3688.1450962314766</v>
      </c>
      <c r="H47" s="196"/>
      <c r="I47" s="3"/>
      <c r="K47" s="131"/>
    </row>
    <row r="48" spans="1:11" x14ac:dyDescent="0.25">
      <c r="A48" s="1">
        <v>22</v>
      </c>
      <c r="B48" s="119">
        <v>18</v>
      </c>
      <c r="C48" s="122">
        <f t="shared" ca="1" si="0"/>
        <v>45028</v>
      </c>
      <c r="D48" s="151">
        <f>IF(B48&lt;$F$17,$F$20-E48-F48,IF(B48=$F$17,$E$19-SUM($D$30:D47),0))</f>
        <v>631.33509623147665</v>
      </c>
      <c r="E48" s="152">
        <f>IF(B48&lt;=$F$17,(E$19*(VLOOKUP($H$2,Лист2!$A:$N,12,0)-(B48-1)*VLOOKUP($H$2,Лист2!$A:$N,13,0))),0)</f>
        <v>0</v>
      </c>
      <c r="F48" s="153">
        <f>ROUND((E$19-SUM(D$31:D47))*F$11*30/365,2)</f>
        <v>3056.81</v>
      </c>
      <c r="G48" s="196">
        <f t="shared" si="1"/>
        <v>3688.1450962314766</v>
      </c>
      <c r="H48" s="196"/>
      <c r="I48" s="3"/>
      <c r="K48" s="131"/>
    </row>
    <row r="49" spans="1:11" x14ac:dyDescent="0.25">
      <c r="A49" s="1">
        <v>19</v>
      </c>
      <c r="B49" s="119">
        <v>19</v>
      </c>
      <c r="C49" s="122">
        <f t="shared" ca="1" si="0"/>
        <v>45058</v>
      </c>
      <c r="D49" s="151">
        <f>IF(B49&lt;$F$17,$F$20-E49-F49,IF(B49=$F$17,$E$19-SUM($D$30:D48),0))</f>
        <v>659.87509623147662</v>
      </c>
      <c r="E49" s="152">
        <f>IF(B49&lt;=$F$17,(E$19*(VLOOKUP($H$2,Лист2!$A:$N,12,0)-(B49-1)*VLOOKUP($H$2,Лист2!$A:$N,13,0))),0)</f>
        <v>0</v>
      </c>
      <c r="F49" s="153">
        <f>ROUND((E$19-SUM(D$31:D48))*F$11*30/365,2)</f>
        <v>3028.27</v>
      </c>
      <c r="G49" s="196">
        <f t="shared" si="1"/>
        <v>3688.1450962314766</v>
      </c>
      <c r="H49" s="196"/>
      <c r="I49" s="3"/>
      <c r="K49" s="131"/>
    </row>
    <row r="50" spans="1:11" x14ac:dyDescent="0.25">
      <c r="A50" s="1">
        <v>20</v>
      </c>
      <c r="B50" s="119">
        <v>20</v>
      </c>
      <c r="C50" s="122">
        <f t="shared" ca="1" si="0"/>
        <v>45089</v>
      </c>
      <c r="D50" s="151">
        <f>IF(B50&lt;$F$17,$F$20-E50-F50,IF(B50=$F$17,$E$19-SUM($D$30:D49),0))</f>
        <v>689.70509623147655</v>
      </c>
      <c r="E50" s="152">
        <f>IF(B50&lt;=$F$17,(E$19*(VLOOKUP($H$2,Лист2!$A:$N,12,0)-(B50-1)*VLOOKUP($H$2,Лист2!$A:$N,13,0))),0)</f>
        <v>0</v>
      </c>
      <c r="F50" s="153">
        <f>ROUND((E$19-SUM(D$31:D49))*F$11*30/365,2)</f>
        <v>2998.44</v>
      </c>
      <c r="G50" s="196">
        <f t="shared" si="1"/>
        <v>3688.1450962314766</v>
      </c>
      <c r="H50" s="196"/>
      <c r="I50" s="3"/>
      <c r="K50" s="131"/>
    </row>
    <row r="51" spans="1:11" x14ac:dyDescent="0.25">
      <c r="A51" s="59">
        <v>21</v>
      </c>
      <c r="B51" s="119">
        <v>21</v>
      </c>
      <c r="C51" s="122">
        <f t="shared" ca="1" si="0"/>
        <v>45119</v>
      </c>
      <c r="D51" s="151">
        <f>IF(B51&lt;$F$17,$F$20-E51-F51,IF(B51=$F$17,$E$19-SUM($D$30:D50),0))</f>
        <v>720.88509623147638</v>
      </c>
      <c r="E51" s="152">
        <f>IF(B51&lt;=$F$17,(E$19*(VLOOKUP($H$2,Лист2!$A:$N,12,0)-(B51-1)*VLOOKUP($H$2,Лист2!$A:$N,13,0))),0)</f>
        <v>0</v>
      </c>
      <c r="F51" s="153">
        <f>ROUND((E$19-SUM(D$31:D50))*F$11*30/365,2)</f>
        <v>2967.26</v>
      </c>
      <c r="G51" s="196">
        <f t="shared" si="1"/>
        <v>3688.1450962314766</v>
      </c>
      <c r="H51" s="196"/>
      <c r="I51" s="3"/>
      <c r="K51" s="131"/>
    </row>
    <row r="52" spans="1:11" x14ac:dyDescent="0.25">
      <c r="A52" s="59">
        <v>22</v>
      </c>
      <c r="B52" s="119">
        <v>22</v>
      </c>
      <c r="C52" s="122">
        <f t="shared" ca="1" si="0"/>
        <v>45150</v>
      </c>
      <c r="D52" s="151">
        <f>IF(B52&lt;$F$17,$F$20-E52-F52,IF(B52=$F$17,$E$19-SUM($D$30:D51),0))</f>
        <v>753.46509623147676</v>
      </c>
      <c r="E52" s="152">
        <f>IF(B52&lt;=$F$17,(E$19*(VLOOKUP($H$2,Лист2!$A:$N,12,0)-(B52-1)*VLOOKUP($H$2,Лист2!$A:$N,13,0))),0)</f>
        <v>0</v>
      </c>
      <c r="F52" s="153">
        <f>ROUND((E$19-SUM(D$31:D51))*F$11*30/365,2)</f>
        <v>2934.68</v>
      </c>
      <c r="G52" s="196">
        <f t="shared" si="1"/>
        <v>3688.1450962314766</v>
      </c>
      <c r="H52" s="196"/>
      <c r="I52" s="3"/>
    </row>
    <row r="53" spans="1:11" x14ac:dyDescent="0.25">
      <c r="A53" s="59">
        <v>25</v>
      </c>
      <c r="B53" s="119">
        <v>23</v>
      </c>
      <c r="C53" s="122">
        <f t="shared" ca="1" si="0"/>
        <v>45181</v>
      </c>
      <c r="D53" s="151">
        <f>IF(B53&lt;$F$17,$F$20-E53-F53,IF(B53=$F$17,$E$19-SUM($D$30:D52),0))</f>
        <v>787.52509623147671</v>
      </c>
      <c r="E53" s="152">
        <f>IF(B53&lt;=$F$17,(E$19*(VLOOKUP($H$2,Лист2!$A:$N,12,0)-(B53-1)*VLOOKUP($H$2,Лист2!$A:$N,13,0))),0)</f>
        <v>0</v>
      </c>
      <c r="F53" s="153">
        <f>ROUND((E$19-SUM(D$31:D52))*F$11*30/365,2)</f>
        <v>2900.62</v>
      </c>
      <c r="G53" s="196">
        <f t="shared" si="1"/>
        <v>3688.1450962314766</v>
      </c>
      <c r="H53" s="196"/>
      <c r="I53" s="3"/>
    </row>
    <row r="54" spans="1:11" x14ac:dyDescent="0.25">
      <c r="A54" s="59"/>
      <c r="B54" s="119">
        <v>24</v>
      </c>
      <c r="C54" s="122">
        <f t="shared" ca="1" si="0"/>
        <v>45211</v>
      </c>
      <c r="D54" s="151">
        <f>IF(B54&lt;$F$17,$F$20-E54-F54,IF(B54=$F$17,$E$19-SUM($D$30:D53),0))</f>
        <v>823.12509623147662</v>
      </c>
      <c r="E54" s="152">
        <f>IF(B54&lt;=$F$17,(E$19*(VLOOKUP($H$2,Лист2!$A:$N,12,0)-(B54-1)*VLOOKUP($H$2,Лист2!$A:$N,13,0))),0)</f>
        <v>0</v>
      </c>
      <c r="F54" s="153">
        <f>ROUND((E$19-SUM(D$31:D53))*F$11*30/365,2)</f>
        <v>2865.02</v>
      </c>
      <c r="G54" s="196">
        <f t="shared" si="1"/>
        <v>3688.1450962314766</v>
      </c>
      <c r="H54" s="196"/>
      <c r="I54" s="3"/>
    </row>
    <row r="55" spans="1:11" x14ac:dyDescent="0.25">
      <c r="A55" s="59"/>
      <c r="B55" s="119">
        <v>25</v>
      </c>
      <c r="C55" s="122">
        <f t="shared" ca="1" si="0"/>
        <v>45242</v>
      </c>
      <c r="D55" s="151">
        <f>IF(B55&lt;$F$17,$F$20-E55-F55,IF(B55=$F$17,$E$19-SUM($D$30:D54),0))</f>
        <v>860.33509623147665</v>
      </c>
      <c r="E55" s="152">
        <f>IF(B55&lt;=$F$17,(E$19*(VLOOKUP($H$2,Лист2!$A:$N,12,0)-(B55-1)*VLOOKUP($H$2,Лист2!$A:$N,13,0))),0)</f>
        <v>0</v>
      </c>
      <c r="F55" s="153">
        <f>ROUND((E$19-SUM(D$31:D54))*F$11*30/365,2)</f>
        <v>2827.81</v>
      </c>
      <c r="G55" s="196">
        <f t="shared" si="1"/>
        <v>3688.1450962314766</v>
      </c>
      <c r="H55" s="196"/>
      <c r="I55" s="3"/>
    </row>
    <row r="56" spans="1:11" x14ac:dyDescent="0.25">
      <c r="A56" s="59"/>
      <c r="B56" s="119">
        <v>26</v>
      </c>
      <c r="C56" s="122">
        <f t="shared" ca="1" si="0"/>
        <v>45272</v>
      </c>
      <c r="D56" s="151">
        <f>IF(B56&lt;$F$17,$F$20-E56-F56,IF(B56=$F$17,$E$19-SUM($D$30:D55),0))</f>
        <v>899.23509623147675</v>
      </c>
      <c r="E56" s="152">
        <f>IF(B56&lt;=$F$17,(E$19*(VLOOKUP($H$2,Лист2!$A:$N,12,0)-(B56-1)*VLOOKUP($H$2,Лист2!$A:$N,13,0))),0)</f>
        <v>0</v>
      </c>
      <c r="F56" s="153">
        <f>ROUND((E$19-SUM(D$31:D55))*F$11*30/365,2)</f>
        <v>2788.91</v>
      </c>
      <c r="G56" s="196">
        <f t="shared" si="1"/>
        <v>3688.1450962314766</v>
      </c>
      <c r="H56" s="196"/>
      <c r="I56" s="3"/>
    </row>
    <row r="57" spans="1:11" x14ac:dyDescent="0.25">
      <c r="A57" s="59"/>
      <c r="B57" s="119">
        <v>27</v>
      </c>
      <c r="C57" s="122">
        <f t="shared" ca="1" si="0"/>
        <v>45303</v>
      </c>
      <c r="D57" s="151">
        <f>IF(B57&lt;$F$17,$F$20-E57-F57,IF(B57=$F$17,$E$19-SUM($D$30:D56),0))</f>
        <v>939.88509623147638</v>
      </c>
      <c r="E57" s="152">
        <f>IF(B57&lt;=$F$17,(E$19*(VLOOKUP($H$2,Лист2!$A:$N,12,0)-(B57-1)*VLOOKUP($H$2,Лист2!$A:$N,13,0))),0)</f>
        <v>0</v>
      </c>
      <c r="F57" s="153">
        <f>ROUND((E$19-SUM(D$31:D56))*F$11*30/365,2)</f>
        <v>2748.26</v>
      </c>
      <c r="G57" s="196">
        <f t="shared" si="1"/>
        <v>3688.1450962314766</v>
      </c>
      <c r="H57" s="196"/>
      <c r="I57" s="3"/>
    </row>
    <row r="58" spans="1:11" x14ac:dyDescent="0.25">
      <c r="A58" s="59"/>
      <c r="B58" s="119">
        <v>28</v>
      </c>
      <c r="C58" s="122">
        <f t="shared" ca="1" si="0"/>
        <v>45334</v>
      </c>
      <c r="D58" s="151">
        <f>IF(B58&lt;$F$17,$F$20-E58-F58,IF(B58=$F$17,$E$19-SUM($D$30:D57),0))</f>
        <v>982.3650962314764</v>
      </c>
      <c r="E58" s="152">
        <f>IF(B58&lt;=$F$17,(E$19*(VLOOKUP($H$2,Лист2!$A:$N,12,0)-(B58-1)*VLOOKUP($H$2,Лист2!$A:$N,13,0))),0)</f>
        <v>0</v>
      </c>
      <c r="F58" s="153">
        <f>ROUND((E$19-SUM(D$31:D57))*F$11*30/365,2)</f>
        <v>2705.78</v>
      </c>
      <c r="G58" s="196">
        <f t="shared" si="1"/>
        <v>3688.1450962314766</v>
      </c>
      <c r="H58" s="196"/>
      <c r="I58" s="3"/>
    </row>
    <row r="59" spans="1:11" x14ac:dyDescent="0.25">
      <c r="A59" s="59"/>
      <c r="B59" s="119">
        <v>29</v>
      </c>
      <c r="C59" s="122">
        <f t="shared" ca="1" si="0"/>
        <v>45363</v>
      </c>
      <c r="D59" s="151">
        <f>IF(B59&lt;$F$17,$F$20-E59-F59,IF(B59=$F$17,$E$19-SUM($D$30:D58),0))</f>
        <v>1026.7750962314767</v>
      </c>
      <c r="E59" s="152">
        <f>IF(B59&lt;=$F$17,(E$19*(VLOOKUP($H$2,Лист2!$A:$N,12,0)-(B59-1)*VLOOKUP($H$2,Лист2!$A:$N,13,0))),0)</f>
        <v>0</v>
      </c>
      <c r="F59" s="153">
        <f>ROUND((E$19-SUM(D$31:D58))*F$11*30/365,2)</f>
        <v>2661.37</v>
      </c>
      <c r="G59" s="196">
        <f t="shared" si="1"/>
        <v>3688.1450962314766</v>
      </c>
      <c r="H59" s="196"/>
      <c r="I59" s="3"/>
    </row>
    <row r="60" spans="1:11" x14ac:dyDescent="0.25">
      <c r="A60" s="59">
        <v>25</v>
      </c>
      <c r="B60" s="119">
        <v>30</v>
      </c>
      <c r="C60" s="122">
        <f t="shared" ca="1" si="0"/>
        <v>45394</v>
      </c>
      <c r="D60" s="151">
        <f>IF(B60&lt;$F$17,$F$20-E60-F60,IF(B60=$F$17,$E$19-SUM($D$30:D59),0))</f>
        <v>1073.1950962314768</v>
      </c>
      <c r="E60" s="152">
        <f>IF(B60&lt;=$F$17,(E$19*(VLOOKUP($H$2,Лист2!$A:$N,12,0)-(B60-1)*VLOOKUP($H$2,Лист2!$A:$N,13,0))),0)</f>
        <v>0</v>
      </c>
      <c r="F60" s="153">
        <f>ROUND((E$19-SUM(D$31:D59))*F$11*30/365,2)</f>
        <v>2614.9499999999998</v>
      </c>
      <c r="G60" s="196">
        <f t="shared" si="1"/>
        <v>3688.1450962314766</v>
      </c>
      <c r="H60" s="196"/>
      <c r="I60" s="124"/>
      <c r="J60" s="124"/>
    </row>
    <row r="61" spans="1:11" x14ac:dyDescent="0.25">
      <c r="A61" s="59"/>
      <c r="B61" s="119">
        <v>31</v>
      </c>
      <c r="C61" s="122">
        <f t="shared" ca="1" si="0"/>
        <v>45424</v>
      </c>
      <c r="D61" s="151">
        <f>IF(B61&lt;$F$17,$F$20-E61-F61,IF(B61=$F$17,$E$19-SUM($D$30:D60),0))</f>
        <v>1121.7050962314765</v>
      </c>
      <c r="E61" s="152">
        <f>IF(B61&lt;=$F$17,(E$19*(VLOOKUP($H$2,Лист2!$A:$N,12,0)-(B61-1)*VLOOKUP($H$2,Лист2!$A:$N,13,0))),0)</f>
        <v>0</v>
      </c>
      <c r="F61" s="153">
        <f>ROUND((E$19-SUM(D$31:D60))*F$11*30/365,2)</f>
        <v>2566.44</v>
      </c>
      <c r="G61" s="196">
        <f t="shared" si="1"/>
        <v>3688.1450962314766</v>
      </c>
      <c r="H61" s="196"/>
      <c r="I61" s="124"/>
      <c r="J61" s="124"/>
    </row>
    <row r="62" spans="1:11" x14ac:dyDescent="0.25">
      <c r="A62" s="59"/>
      <c r="B62" s="119">
        <v>32</v>
      </c>
      <c r="C62" s="122">
        <f t="shared" ca="1" si="0"/>
        <v>45455</v>
      </c>
      <c r="D62" s="151">
        <f>IF(B62&lt;$F$17,$F$20-E62-F62,IF(B62=$F$17,$E$19-SUM($D$30:D61),0))</f>
        <v>1172.4150962314766</v>
      </c>
      <c r="E62" s="152">
        <f>IF(B62&lt;=$F$17,(E$19*(VLOOKUP($H$2,Лист2!$A:$N,12,0)-(B62-1)*VLOOKUP($H$2,Лист2!$A:$N,13,0))),0)</f>
        <v>0</v>
      </c>
      <c r="F62" s="153">
        <f>ROUND((E$19-SUM(D$31:D61))*F$11*30/365,2)</f>
        <v>2515.73</v>
      </c>
      <c r="G62" s="196">
        <f t="shared" si="1"/>
        <v>3688.1450962314766</v>
      </c>
      <c r="H62" s="196"/>
      <c r="I62" s="124"/>
      <c r="J62" s="124"/>
    </row>
    <row r="63" spans="1:11" x14ac:dyDescent="0.25">
      <c r="A63" s="59"/>
      <c r="B63" s="119">
        <v>33</v>
      </c>
      <c r="C63" s="122">
        <f t="shared" ca="1" si="0"/>
        <v>45485</v>
      </c>
      <c r="D63" s="151">
        <f>IF(B63&lt;$F$17,$F$20-E63-F63,IF(B63=$F$17,$E$19-SUM($D$30:D62),0))</f>
        <v>1225.4150962314766</v>
      </c>
      <c r="E63" s="152">
        <f>IF(B63&lt;=$F$17,(E$19*(VLOOKUP($H$2,Лист2!$A:$N,12,0)-(B63-1)*VLOOKUP($H$2,Лист2!$A:$N,13,0))),0)</f>
        <v>0</v>
      </c>
      <c r="F63" s="153">
        <f>ROUND((E$19-SUM(D$31:D62))*F$11*30/365,2)</f>
        <v>2462.73</v>
      </c>
      <c r="G63" s="196">
        <f t="shared" si="1"/>
        <v>3688.1450962314766</v>
      </c>
      <c r="H63" s="196"/>
      <c r="I63" s="124"/>
      <c r="J63" s="124"/>
    </row>
    <row r="64" spans="1:11" x14ac:dyDescent="0.25">
      <c r="A64" s="59"/>
      <c r="B64" s="119">
        <v>34</v>
      </c>
      <c r="C64" s="122">
        <f t="shared" ca="1" si="0"/>
        <v>45516</v>
      </c>
      <c r="D64" s="151">
        <f>IF(B64&lt;$F$17,$F$20-E64-F64,IF(B64=$F$17,$E$19-SUM($D$30:D63),0))</f>
        <v>1280.8050962314765</v>
      </c>
      <c r="E64" s="152">
        <f>IF(B64&lt;=$F$17,(E$19*(VLOOKUP($H$2,Лист2!$A:$N,12,0)-(B64-1)*VLOOKUP($H$2,Лист2!$A:$N,13,0))),0)</f>
        <v>0</v>
      </c>
      <c r="F64" s="153">
        <f>ROUND((E$19-SUM(D$31:D63))*F$11*30/365,2)</f>
        <v>2407.34</v>
      </c>
      <c r="G64" s="196">
        <f t="shared" si="1"/>
        <v>3688.1450962314766</v>
      </c>
      <c r="H64" s="196"/>
      <c r="I64" s="124"/>
      <c r="J64" s="124"/>
    </row>
    <row r="65" spans="1:10" x14ac:dyDescent="0.25">
      <c r="A65" s="59"/>
      <c r="B65" s="119">
        <v>35</v>
      </c>
      <c r="C65" s="122">
        <f t="shared" ca="1" si="0"/>
        <v>45547</v>
      </c>
      <c r="D65" s="151">
        <f>IF(B65&lt;$F$17,$F$20-E65-F65,IF(B65=$F$17,$E$19-SUM($D$30:D64),0))</f>
        <v>1338.7050962314765</v>
      </c>
      <c r="E65" s="152">
        <f>IF(B65&lt;=$F$17,(E$19*(VLOOKUP($H$2,Лист2!$A:$N,12,0)-(B65-1)*VLOOKUP($H$2,Лист2!$A:$N,13,0))),0)</f>
        <v>0</v>
      </c>
      <c r="F65" s="153">
        <f>ROUND((E$19-SUM(D$31:D64))*F$11*30/365,2)</f>
        <v>2349.44</v>
      </c>
      <c r="G65" s="196">
        <f t="shared" si="1"/>
        <v>3688.1450962314766</v>
      </c>
      <c r="H65" s="196"/>
      <c r="I65" s="124"/>
      <c r="J65" s="124"/>
    </row>
    <row r="66" spans="1:10" x14ac:dyDescent="0.25">
      <c r="A66" s="59"/>
      <c r="B66" s="119">
        <v>36</v>
      </c>
      <c r="C66" s="122">
        <f t="shared" ca="1" si="0"/>
        <v>45577</v>
      </c>
      <c r="D66" s="151">
        <f>IF(B66&lt;$F$17,$F$20-E66-F66,IF(B66=$F$17,$E$19-SUM($D$30:D65),0))</f>
        <v>1399.2250962314765</v>
      </c>
      <c r="E66" s="152">
        <f>IF(B66&lt;=$F$17,(E$19*(VLOOKUP($H$2,Лист2!$A:$N,12,0)-(B66-1)*VLOOKUP($H$2,Лист2!$A:$N,13,0))),0)</f>
        <v>0</v>
      </c>
      <c r="F66" s="153">
        <f>ROUND((E$19-SUM(D$31:D65))*F$11*30/365,2)</f>
        <v>2288.92</v>
      </c>
      <c r="G66" s="196">
        <f t="shared" si="1"/>
        <v>3688.1450962314766</v>
      </c>
      <c r="H66" s="196"/>
      <c r="I66" s="124"/>
      <c r="J66" s="124"/>
    </row>
    <row r="67" spans="1:10" x14ac:dyDescent="0.25">
      <c r="A67" s="59"/>
      <c r="B67" s="119">
        <v>37</v>
      </c>
      <c r="C67" s="122">
        <f t="shared" ca="1" si="0"/>
        <v>45608</v>
      </c>
      <c r="D67" s="151">
        <f>IF(B67&lt;$F$17,$F$20-E67-F67,IF(B67=$F$17,$E$19-SUM($D$30:D66),0))</f>
        <v>1462.4750962314765</v>
      </c>
      <c r="E67" s="152">
        <f>IF(B67&lt;=$F$17,(E$19*(VLOOKUP($H$2,Лист2!$A:$N,12,0)-(B67-1)*VLOOKUP($H$2,Лист2!$A:$N,13,0))),0)</f>
        <v>0</v>
      </c>
      <c r="F67" s="153">
        <f>ROUND((E$19-SUM(D$31:D66))*F$11*30/365,2)</f>
        <v>2225.67</v>
      </c>
      <c r="G67" s="196">
        <f t="shared" si="1"/>
        <v>3688.1450962314766</v>
      </c>
      <c r="H67" s="196"/>
      <c r="I67" s="124"/>
      <c r="J67" s="124"/>
    </row>
    <row r="68" spans="1:10" x14ac:dyDescent="0.25">
      <c r="A68" s="59"/>
      <c r="B68" s="119">
        <v>38</v>
      </c>
      <c r="C68" s="122">
        <f t="shared" ca="1" si="0"/>
        <v>45638</v>
      </c>
      <c r="D68" s="151">
        <f>IF(B68&lt;$F$17,$F$20-E68-F68,IF(B68=$F$17,$E$19-SUM($D$30:D67),0))</f>
        <v>1528.5950962314764</v>
      </c>
      <c r="E68" s="152">
        <f>IF(B68&lt;=$F$17,(E$19*(VLOOKUP($H$2,Лист2!$A:$N,12,0)-(B68-1)*VLOOKUP($H$2,Лист2!$A:$N,13,0))),0)</f>
        <v>0</v>
      </c>
      <c r="F68" s="153">
        <f>ROUND((E$19-SUM(D$31:D67))*F$11*30/365,2)</f>
        <v>2159.5500000000002</v>
      </c>
      <c r="G68" s="196">
        <f t="shared" si="1"/>
        <v>3688.1450962314766</v>
      </c>
      <c r="H68" s="196"/>
      <c r="I68" s="124"/>
      <c r="J68" s="124"/>
    </row>
    <row r="69" spans="1:10" x14ac:dyDescent="0.25">
      <c r="A69" s="59"/>
      <c r="B69" s="119">
        <v>39</v>
      </c>
      <c r="C69" s="122">
        <f t="shared" ca="1" si="0"/>
        <v>45669</v>
      </c>
      <c r="D69" s="151">
        <f>IF(B69&lt;$F$17,$F$20-E69-F69,IF(B69=$F$17,$E$19-SUM($D$30:D68),0))</f>
        <v>1597.6950962314768</v>
      </c>
      <c r="E69" s="152">
        <f>IF(B69&lt;=$F$17,(E$19*(VLOOKUP($H$2,Лист2!$A:$N,12,0)-(B69-1)*VLOOKUP($H$2,Лист2!$A:$N,13,0))),0)</f>
        <v>0</v>
      </c>
      <c r="F69" s="153">
        <f>ROUND((E$19-SUM(D$31:D68))*F$11*30/365,2)</f>
        <v>2090.4499999999998</v>
      </c>
      <c r="G69" s="196">
        <f t="shared" si="1"/>
        <v>3688.1450962314766</v>
      </c>
      <c r="H69" s="196"/>
      <c r="I69" s="124"/>
      <c r="J69" s="124"/>
    </row>
    <row r="70" spans="1:10" x14ac:dyDescent="0.25">
      <c r="A70" s="59"/>
      <c r="B70" s="119">
        <v>40</v>
      </c>
      <c r="C70" s="122">
        <f t="shared" ca="1" si="0"/>
        <v>45700</v>
      </c>
      <c r="D70" s="151">
        <f>IF(B70&lt;$F$17,$F$20-E70-F70,IF(B70=$F$17,$E$19-SUM($D$30:D69),0))</f>
        <v>1669.9150962314766</v>
      </c>
      <c r="E70" s="152">
        <f>IF(B70&lt;=$F$17,(E$19*(VLOOKUP($H$2,Лист2!$A:$N,12,0)-(B70-1)*VLOOKUP($H$2,Лист2!$A:$N,13,0))),0)</f>
        <v>0</v>
      </c>
      <c r="F70" s="153">
        <f>ROUND((E$19-SUM(D$31:D69))*F$11*30/365,2)</f>
        <v>2018.23</v>
      </c>
      <c r="G70" s="196">
        <f t="shared" si="1"/>
        <v>3688.1450962314766</v>
      </c>
      <c r="H70" s="196"/>
      <c r="I70" s="124"/>
      <c r="J70" s="124"/>
    </row>
    <row r="71" spans="1:10" x14ac:dyDescent="0.25">
      <c r="A71" s="59"/>
      <c r="B71" s="119">
        <v>41</v>
      </c>
      <c r="C71" s="122">
        <f t="shared" ca="1" si="0"/>
        <v>45728</v>
      </c>
      <c r="D71" s="151">
        <f>IF(B71&lt;$F$17,$F$20-E71-F71,IF(B71=$F$17,$E$19-SUM($D$30:D70),0))</f>
        <v>1745.4050962314766</v>
      </c>
      <c r="E71" s="152">
        <f>IF(B71&lt;=$F$17,(E$19*(VLOOKUP($H$2,Лист2!$A:$N,12,0)-(B71-1)*VLOOKUP($H$2,Лист2!$A:$N,13,0))),0)</f>
        <v>0</v>
      </c>
      <c r="F71" s="153">
        <f>ROUND((E$19-SUM(D$31:D70))*F$11*30/365,2)</f>
        <v>1942.74</v>
      </c>
      <c r="G71" s="196">
        <f t="shared" si="1"/>
        <v>3688.1450962314766</v>
      </c>
      <c r="H71" s="196"/>
      <c r="I71" s="124"/>
      <c r="J71" s="124"/>
    </row>
    <row r="72" spans="1:10" x14ac:dyDescent="0.25">
      <c r="A72" s="59"/>
      <c r="B72" s="119">
        <v>42</v>
      </c>
      <c r="C72" s="122">
        <f t="shared" ca="1" si="0"/>
        <v>45759</v>
      </c>
      <c r="D72" s="151">
        <f>IF(B72&lt;$F$17,$F$20-E72-F72,IF(B72=$F$17,$E$19-SUM($D$30:D71),0))</f>
        <v>1824.3050962314767</v>
      </c>
      <c r="E72" s="152">
        <f>IF(B72&lt;=$F$17,(E$19*(VLOOKUP($H$2,Лист2!$A:$N,12,0)-(B72-1)*VLOOKUP($H$2,Лист2!$A:$N,13,0))),0)</f>
        <v>0</v>
      </c>
      <c r="F72" s="153">
        <f>ROUND((E$19-SUM(D$31:D71))*F$11*30/365,2)</f>
        <v>1863.84</v>
      </c>
      <c r="G72" s="196">
        <f t="shared" si="1"/>
        <v>3688.1450962314766</v>
      </c>
      <c r="H72" s="196"/>
      <c r="I72" s="124"/>
      <c r="J72" s="124"/>
    </row>
    <row r="73" spans="1:10" x14ac:dyDescent="0.25">
      <c r="A73" s="59"/>
      <c r="B73" s="119">
        <v>43</v>
      </c>
      <c r="C73" s="122">
        <f t="shared" ca="1" si="0"/>
        <v>45789</v>
      </c>
      <c r="D73" s="151">
        <f>IF(B73&lt;$F$17,$F$20-E73-F73,IF(B73=$F$17,$E$19-SUM($D$30:D72),0))</f>
        <v>1906.7750962314767</v>
      </c>
      <c r="E73" s="152">
        <f>IF(B73&lt;=$F$17,(E$19*(VLOOKUP($H$2,Лист2!$A:$N,12,0)-(B73-1)*VLOOKUP($H$2,Лист2!$A:$N,13,0))),0)</f>
        <v>0</v>
      </c>
      <c r="F73" s="153">
        <f>ROUND((E$19-SUM(D$31:D72))*F$11*30/365,2)</f>
        <v>1781.37</v>
      </c>
      <c r="G73" s="196">
        <f t="shared" si="1"/>
        <v>3688.1450962314766</v>
      </c>
      <c r="H73" s="196"/>
      <c r="I73" s="124"/>
      <c r="J73" s="124"/>
    </row>
    <row r="74" spans="1:10" x14ac:dyDescent="0.25">
      <c r="A74" s="59"/>
      <c r="B74" s="119">
        <v>44</v>
      </c>
      <c r="C74" s="122">
        <f t="shared" ca="1" si="0"/>
        <v>45820</v>
      </c>
      <c r="D74" s="151">
        <f>IF(B74&lt;$F$17,$F$20-E74-F74,IF(B74=$F$17,$E$19-SUM($D$30:D73),0))</f>
        <v>1992.9750962314765</v>
      </c>
      <c r="E74" s="152">
        <f>IF(B74&lt;=$F$17,(E$19*(VLOOKUP($H$2,Лист2!$A:$N,12,0)-(B74-1)*VLOOKUP($H$2,Лист2!$A:$N,13,0))),0)</f>
        <v>0</v>
      </c>
      <c r="F74" s="153">
        <f>ROUND((E$19-SUM(D$31:D73))*F$11*30/365,2)</f>
        <v>1695.17</v>
      </c>
      <c r="G74" s="196">
        <f t="shared" si="1"/>
        <v>3688.1450962314766</v>
      </c>
      <c r="H74" s="196"/>
      <c r="I74" s="124"/>
      <c r="J74" s="124"/>
    </row>
    <row r="75" spans="1:10" x14ac:dyDescent="0.25">
      <c r="A75" s="59"/>
      <c r="B75" s="119">
        <v>45</v>
      </c>
      <c r="C75" s="122">
        <f t="shared" ca="1" si="0"/>
        <v>45850</v>
      </c>
      <c r="D75" s="151">
        <f>IF(B75&lt;$F$17,$F$20-E75-F75,IF(B75=$F$17,$E$19-SUM($D$30:D74),0))</f>
        <v>2083.0650962314767</v>
      </c>
      <c r="E75" s="152">
        <f>IF(B75&lt;=$F$17,(E$19*(VLOOKUP($H$2,Лист2!$A:$N,12,0)-(B75-1)*VLOOKUP($H$2,Лист2!$A:$N,13,0))),0)</f>
        <v>0</v>
      </c>
      <c r="F75" s="153">
        <f>ROUND((E$19-SUM(D$31:D74))*F$11*30/365,2)</f>
        <v>1605.08</v>
      </c>
      <c r="G75" s="196">
        <f t="shared" si="1"/>
        <v>3688.1450962314766</v>
      </c>
      <c r="H75" s="196"/>
      <c r="I75" s="124"/>
      <c r="J75" s="124"/>
    </row>
    <row r="76" spans="1:10" x14ac:dyDescent="0.25">
      <c r="A76" s="59"/>
      <c r="B76" s="119">
        <v>46</v>
      </c>
      <c r="C76" s="122">
        <f t="shared" ca="1" si="0"/>
        <v>45881</v>
      </c>
      <c r="D76" s="151">
        <f>IF(B76&lt;$F$17,$F$20-E76-F76,IF(B76=$F$17,$E$19-SUM($D$30:D75),0))</f>
        <v>2177.2350962314767</v>
      </c>
      <c r="E76" s="152">
        <f>IF(B76&lt;=$F$17,(E$19*(VLOOKUP($H$2,Лист2!$A:$N,12,0)-(B76-1)*VLOOKUP($H$2,Лист2!$A:$N,13,0))),0)</f>
        <v>0</v>
      </c>
      <c r="F76" s="153">
        <f>ROUND((E$19-SUM(D$31:D75))*F$11*30/365,2)</f>
        <v>1510.91</v>
      </c>
      <c r="G76" s="196">
        <f t="shared" si="1"/>
        <v>3688.1450962314766</v>
      </c>
      <c r="H76" s="196"/>
      <c r="I76" s="124"/>
      <c r="J76" s="124"/>
    </row>
    <row r="77" spans="1:10" x14ac:dyDescent="0.25">
      <c r="A77" s="59"/>
      <c r="B77" s="119">
        <v>47</v>
      </c>
      <c r="C77" s="122">
        <f t="shared" ca="1" si="0"/>
        <v>45912</v>
      </c>
      <c r="D77" s="151">
        <f>IF(B77&lt;$F$17,$F$20-E77-F77,IF(B77=$F$17,$E$19-SUM($D$30:D76),0))</f>
        <v>2275.6550962314768</v>
      </c>
      <c r="E77" s="152">
        <f>IF(B77&lt;=$F$17,(E$19*(VLOOKUP($H$2,Лист2!$A:$N,12,0)-(B77-1)*VLOOKUP($H$2,Лист2!$A:$N,13,0))),0)</f>
        <v>0</v>
      </c>
      <c r="F77" s="153">
        <f>ROUND((E$19-SUM(D$31:D76))*F$11*30/365,2)</f>
        <v>1412.49</v>
      </c>
      <c r="G77" s="196">
        <f t="shared" si="1"/>
        <v>3688.1450962314766</v>
      </c>
      <c r="H77" s="196"/>
      <c r="I77" s="124"/>
      <c r="J77" s="124"/>
    </row>
    <row r="78" spans="1:10" x14ac:dyDescent="0.25">
      <c r="A78" s="59"/>
      <c r="B78" s="119">
        <v>48</v>
      </c>
      <c r="C78" s="122">
        <f t="shared" ca="1" si="0"/>
        <v>45942</v>
      </c>
      <c r="D78" s="151">
        <f>IF(B78&lt;$F$17,$F$20-E78-F78,IF(B78=$F$17,$E$19-SUM($D$30:D77),0))</f>
        <v>2378.5250962314767</v>
      </c>
      <c r="E78" s="152">
        <f>IF(B78&lt;=$F$17,(E$19*(VLOOKUP($H$2,Лист2!$A:$N,12,0)-(B78-1)*VLOOKUP($H$2,Лист2!$A:$N,13,0))),0)</f>
        <v>0</v>
      </c>
      <c r="F78" s="153">
        <f>ROUND((E$19-SUM(D$31:D77))*F$11*30/365,2)</f>
        <v>1309.6199999999999</v>
      </c>
      <c r="G78" s="196">
        <f t="shared" si="1"/>
        <v>3688.1450962314766</v>
      </c>
      <c r="H78" s="196"/>
      <c r="I78" s="124"/>
      <c r="J78" s="124"/>
    </row>
    <row r="79" spans="1:10" x14ac:dyDescent="0.25">
      <c r="A79" s="59"/>
      <c r="B79" s="119">
        <v>49</v>
      </c>
      <c r="C79" s="122">
        <f t="shared" ca="1" si="0"/>
        <v>45973</v>
      </c>
      <c r="D79" s="151">
        <f>IF(B79&lt;$F$17,$F$20-E79-F79,IF(B79=$F$17,$E$19-SUM($D$30:D78),0))</f>
        <v>2486.0450962314767</v>
      </c>
      <c r="E79" s="152">
        <f>IF(B79&lt;=$F$17,(E$19*(VLOOKUP($H$2,Лист2!$A:$N,12,0)-(B79-1)*VLOOKUP($H$2,Лист2!$A:$N,13,0))),0)</f>
        <v>0</v>
      </c>
      <c r="F79" s="153">
        <f>ROUND((E$19-SUM(D$31:D78))*F$11*30/365,2)</f>
        <v>1202.0999999999999</v>
      </c>
      <c r="G79" s="196">
        <f t="shared" si="1"/>
        <v>3688.1450962314766</v>
      </c>
      <c r="H79" s="196"/>
      <c r="I79" s="124"/>
      <c r="J79" s="124"/>
    </row>
    <row r="80" spans="1:10" x14ac:dyDescent="0.25">
      <c r="A80" s="59"/>
      <c r="B80" s="119">
        <v>50</v>
      </c>
      <c r="C80" s="122">
        <f t="shared" ca="1" si="0"/>
        <v>46003</v>
      </c>
      <c r="D80" s="151">
        <f>IF(B80&lt;$F$17,$F$20-E80-F80,IF(B80=$F$17,$E$19-SUM($D$30:D79),0))</f>
        <v>2598.4350962314766</v>
      </c>
      <c r="E80" s="152">
        <f>IF(B80&lt;=$F$17,(E$19*(VLOOKUP($H$2,Лист2!$A:$N,12,0)-(B80-1)*VLOOKUP($H$2,Лист2!$A:$N,13,0))),0)</f>
        <v>0</v>
      </c>
      <c r="F80" s="153">
        <f>ROUND((E$19-SUM(D$31:D79))*F$11*30/365,2)</f>
        <v>1089.71</v>
      </c>
      <c r="G80" s="196">
        <f t="shared" si="1"/>
        <v>3688.1450962314766</v>
      </c>
      <c r="H80" s="196"/>
      <c r="I80" s="124"/>
      <c r="J80" s="124"/>
    </row>
    <row r="81" spans="1:10" x14ac:dyDescent="0.25">
      <c r="A81" s="59"/>
      <c r="B81" s="119">
        <v>51</v>
      </c>
      <c r="C81" s="122">
        <f t="shared" ca="1" si="0"/>
        <v>46034</v>
      </c>
      <c r="D81" s="151">
        <f>IF(B81&lt;$F$17,$F$20-E81-F81,IF(B81=$F$17,$E$19-SUM($D$30:D80),0))</f>
        <v>2715.8950962314766</v>
      </c>
      <c r="E81" s="152">
        <f>IF(B81&lt;=$F$17,(E$19*(VLOOKUP($H$2,Лист2!$A:$N,12,0)-(B81-1)*VLOOKUP($H$2,Лист2!$A:$N,13,0))),0)</f>
        <v>0</v>
      </c>
      <c r="F81" s="153">
        <f>ROUND((E$19-SUM(D$31:D80))*F$11*30/365,2)</f>
        <v>972.25</v>
      </c>
      <c r="G81" s="196">
        <f t="shared" si="1"/>
        <v>3688.1450962314766</v>
      </c>
      <c r="H81" s="196"/>
      <c r="I81" s="124"/>
      <c r="J81" s="124"/>
    </row>
    <row r="82" spans="1:10" x14ac:dyDescent="0.25">
      <c r="A82" s="59"/>
      <c r="B82" s="119">
        <v>52</v>
      </c>
      <c r="C82" s="122">
        <f t="shared" ca="1" si="0"/>
        <v>46065</v>
      </c>
      <c r="D82" s="151">
        <f>IF(B82&lt;$F$17,$F$20-E82-F82,IF(B82=$F$17,$E$19-SUM($D$30:D81),0))</f>
        <v>2838.6650962314766</v>
      </c>
      <c r="E82" s="152">
        <f>IF(B82&lt;=$F$17,(E$19*(VLOOKUP($H$2,Лист2!$A:$N,12,0)-(B82-1)*VLOOKUP($H$2,Лист2!$A:$N,13,0))),0)</f>
        <v>0</v>
      </c>
      <c r="F82" s="153">
        <f>ROUND((E$19-SUM(D$31:D81))*F$11*30/365,2)</f>
        <v>849.48</v>
      </c>
      <c r="G82" s="196">
        <f t="shared" si="1"/>
        <v>3688.1450962314766</v>
      </c>
      <c r="H82" s="196"/>
      <c r="I82" s="124"/>
      <c r="J82" s="124"/>
    </row>
    <row r="83" spans="1:10" x14ac:dyDescent="0.25">
      <c r="A83" s="59"/>
      <c r="B83" s="119">
        <v>53</v>
      </c>
      <c r="C83" s="122">
        <f t="shared" ca="1" si="0"/>
        <v>46093</v>
      </c>
      <c r="D83" s="151">
        <f>IF(B83&lt;$F$17,$F$20-E83-F83,IF(B83=$F$17,$E$19-SUM($D$30:D82),0))</f>
        <v>2966.9950962314765</v>
      </c>
      <c r="E83" s="152">
        <f>IF(B83&lt;=$F$17,(E$19*(VLOOKUP($H$2,Лист2!$A:$N,12,0)-(B83-1)*VLOOKUP($H$2,Лист2!$A:$N,13,0))),0)</f>
        <v>0</v>
      </c>
      <c r="F83" s="153">
        <f>ROUND((E$19-SUM(D$31:D82))*F$11*30/365,2)</f>
        <v>721.15</v>
      </c>
      <c r="G83" s="196">
        <f t="shared" si="1"/>
        <v>3688.1450962314766</v>
      </c>
      <c r="H83" s="196"/>
      <c r="I83" s="124"/>
      <c r="J83" s="124"/>
    </row>
    <row r="84" spans="1:10" x14ac:dyDescent="0.25">
      <c r="A84" s="59"/>
      <c r="B84" s="119">
        <v>54</v>
      </c>
      <c r="C84" s="122">
        <f t="shared" ca="1" si="0"/>
        <v>46124</v>
      </c>
      <c r="D84" s="151">
        <f>IF(B84&lt;$F$17,$F$20-E84-F84,IF(B84=$F$17,$E$19-SUM($D$30:D83),0))</f>
        <v>3101.1150962314769</v>
      </c>
      <c r="E84" s="152">
        <f>IF(B84&lt;=$F$17,(E$19*(VLOOKUP($H$2,Лист2!$A:$N,12,0)-(B84-1)*VLOOKUP($H$2,Лист2!$A:$N,13,0))),0)</f>
        <v>0</v>
      </c>
      <c r="F84" s="153">
        <f>ROUND((E$19-SUM(D$31:D83))*F$11*30/365,2)</f>
        <v>587.03</v>
      </c>
      <c r="G84" s="196">
        <f t="shared" si="1"/>
        <v>3688.1450962314766</v>
      </c>
      <c r="H84" s="196"/>
      <c r="I84" s="124"/>
      <c r="J84" s="124"/>
    </row>
    <row r="85" spans="1:10" x14ac:dyDescent="0.25">
      <c r="A85" s="59"/>
      <c r="B85" s="119">
        <v>55</v>
      </c>
      <c r="C85" s="122">
        <f t="shared" ca="1" si="0"/>
        <v>46154</v>
      </c>
      <c r="D85" s="151">
        <f>IF(B85&lt;$F$17,$F$20-E85-F85,IF(B85=$F$17,$E$19-SUM($D$30:D84),0))</f>
        <v>3241.3050962314765</v>
      </c>
      <c r="E85" s="152">
        <f>IF(B85&lt;=$F$17,(E$19*(VLOOKUP($H$2,Лист2!$A:$N,12,0)-(B85-1)*VLOOKUP($H$2,Лист2!$A:$N,13,0))),0)</f>
        <v>0</v>
      </c>
      <c r="F85" s="153">
        <f>ROUND((E$19-SUM(D$31:D84))*F$11*30/365,2)</f>
        <v>446.84</v>
      </c>
      <c r="G85" s="196">
        <f t="shared" si="1"/>
        <v>3688.1450962314766</v>
      </c>
      <c r="H85" s="196"/>
      <c r="I85" s="124"/>
      <c r="J85" s="124"/>
    </row>
    <row r="86" spans="1:10" x14ac:dyDescent="0.25">
      <c r="A86" s="59"/>
      <c r="B86" s="119">
        <v>56</v>
      </c>
      <c r="C86" s="122">
        <f t="shared" ca="1" si="0"/>
        <v>46185</v>
      </c>
      <c r="D86" s="151">
        <f>IF(B86&lt;$F$17,$F$20-E86-F86,IF(B86=$F$17,$E$19-SUM($D$30:D85),0))</f>
        <v>3387.8250962314764</v>
      </c>
      <c r="E86" s="152">
        <f>IF(B86&lt;=$F$17,(E$19*(VLOOKUP($H$2,Лист2!$A:$N,12,0)-(B86-1)*VLOOKUP($H$2,Лист2!$A:$N,13,0))),0)</f>
        <v>0</v>
      </c>
      <c r="F86" s="153">
        <f>ROUND((E$19-SUM(D$31:D85))*F$11*30/365,2)</f>
        <v>300.32</v>
      </c>
      <c r="G86" s="196">
        <f t="shared" si="1"/>
        <v>3688.1450962314766</v>
      </c>
      <c r="H86" s="196"/>
      <c r="I86" s="124"/>
      <c r="J86" s="124"/>
    </row>
    <row r="87" spans="1:10" x14ac:dyDescent="0.25">
      <c r="A87" s="59"/>
      <c r="B87" s="119">
        <v>57</v>
      </c>
      <c r="C87" s="122">
        <f t="shared" ca="1" si="0"/>
        <v>46215</v>
      </c>
      <c r="D87" s="151">
        <f>IF(B87&lt;$F$17,$F$20-E87-F87,IF(B87=$F$17,$E$19-SUM($D$30:D86),0))</f>
        <v>3540.9750962314765</v>
      </c>
      <c r="E87" s="152">
        <f>IF(B87&lt;=$F$17,(E$19*(VLOOKUP($H$2,Лист2!$A:$N,12,0)-(B87-1)*VLOOKUP($H$2,Лист2!$A:$N,13,0))),0)</f>
        <v>0</v>
      </c>
      <c r="F87" s="153">
        <f>ROUND((E$19-SUM(D$31:D86))*F$11*30/365,2)</f>
        <v>147.16999999999999</v>
      </c>
      <c r="G87" s="196">
        <f t="shared" si="1"/>
        <v>3688.1450962314766</v>
      </c>
      <c r="H87" s="196"/>
      <c r="I87" s="124"/>
      <c r="J87" s="124"/>
    </row>
    <row r="88" spans="1:10" x14ac:dyDescent="0.25">
      <c r="A88" s="59"/>
      <c r="B88" s="119">
        <v>58</v>
      </c>
      <c r="C88" s="122">
        <f t="shared" ca="1" si="0"/>
        <v>46246</v>
      </c>
      <c r="D88" s="151">
        <f>IF(B88&lt;$F$17,$F$20-E88-F88,IF(B88=$F$17,$E$19-SUM($D$30:D87),0))</f>
        <v>3701.0450962314767</v>
      </c>
      <c r="E88" s="152">
        <f>IF(B88&lt;=$F$17,(E$19*(VLOOKUP($H$2,Лист2!$A:$N,12,0)-(B88-1)*VLOOKUP($H$2,Лист2!$A:$N,13,0))),0)</f>
        <v>0</v>
      </c>
      <c r="F88" s="153">
        <f>ROUND((E$19-SUM(D$31:D87))*F$11*30/365,2)</f>
        <v>-12.9</v>
      </c>
      <c r="G88" s="196">
        <f t="shared" si="1"/>
        <v>3688.1450962314766</v>
      </c>
      <c r="H88" s="196"/>
      <c r="I88" s="124"/>
      <c r="J88" s="124"/>
    </row>
    <row r="89" spans="1:10" x14ac:dyDescent="0.25">
      <c r="A89" s="59"/>
      <c r="B89" s="119">
        <v>59</v>
      </c>
      <c r="C89" s="122">
        <f t="shared" ca="1" si="0"/>
        <v>46277</v>
      </c>
      <c r="D89" s="151">
        <f>IF(B89&lt;$F$17,$F$20-E89-F89,IF(B89=$F$17,$E$19-SUM($D$30:D88),0))</f>
        <v>3868.3550962314766</v>
      </c>
      <c r="E89" s="152">
        <f>IF(B89&lt;=$F$17,(E$19*(VLOOKUP($H$2,Лист2!$A:$N,12,0)-(B89-1)*VLOOKUP($H$2,Лист2!$A:$N,13,0))),0)</f>
        <v>0</v>
      </c>
      <c r="F89" s="153">
        <f>ROUND((E$19-SUM(D$31:D88))*F$11*30/365,2)</f>
        <v>-180.21</v>
      </c>
      <c r="G89" s="196">
        <f t="shared" si="1"/>
        <v>3688.1450962314766</v>
      </c>
      <c r="H89" s="196"/>
      <c r="I89" s="124"/>
      <c r="J89" s="124"/>
    </row>
    <row r="90" spans="1:10" ht="13.8" thickBot="1" x14ac:dyDescent="0.3">
      <c r="A90" s="59"/>
      <c r="B90" s="147">
        <v>60</v>
      </c>
      <c r="C90" s="148">
        <f t="shared" ca="1" si="0"/>
        <v>46307</v>
      </c>
      <c r="D90" s="154">
        <f>IF(B90&lt;$F$17,$F$20-E90-F90,IF(B90=$F$17,$E$19-SUM($D$30:D89),0))</f>
        <v>-7854.840677657121</v>
      </c>
      <c r="E90" s="155">
        <f>IF(B90&lt;=$F$17,(E$19*(VLOOKUP($H$2,Лист2!$A:$N,12,0)-(B90-1)*VLOOKUP($H$2,Лист2!$A:$N,13,0))),0)</f>
        <v>0</v>
      </c>
      <c r="F90" s="156">
        <f>ROUND((E$19-SUM(D$31:D89))*F$11*30/365,2)</f>
        <v>-355.08</v>
      </c>
      <c r="G90" s="209">
        <f t="shared" si="1"/>
        <v>-8209.9206776571209</v>
      </c>
      <c r="H90" s="209"/>
      <c r="I90" s="124"/>
      <c r="J90" s="124"/>
    </row>
    <row r="91" spans="1:10" ht="16.2" thickBot="1" x14ac:dyDescent="0.3">
      <c r="A91" s="59"/>
      <c r="B91" s="204" t="s">
        <v>1</v>
      </c>
      <c r="C91" s="205"/>
      <c r="D91" s="158">
        <f>SUM(D31:D90)</f>
        <v>75000</v>
      </c>
      <c r="E91" s="158">
        <f>SUM(E31:E90)</f>
        <v>0</v>
      </c>
      <c r="F91" s="158">
        <f>SUM(F31:F90)</f>
        <v>134390.64000000001</v>
      </c>
      <c r="G91" s="206">
        <f>SUM(G31:H90)</f>
        <v>209390.64000000007</v>
      </c>
      <c r="H91" s="207"/>
      <c r="I91" s="124"/>
      <c r="J91" s="124"/>
    </row>
    <row r="92" spans="1:10" x14ac:dyDescent="0.25">
      <c r="A92" s="59"/>
      <c r="B92" s="2"/>
      <c r="C92" s="2"/>
      <c r="D92" s="2"/>
      <c r="E92" s="2"/>
      <c r="F92" s="2"/>
      <c r="G92" s="46"/>
      <c r="I92" s="124"/>
      <c r="J92" s="124"/>
    </row>
    <row r="93" spans="1:10" x14ac:dyDescent="0.25">
      <c r="A93" s="59"/>
      <c r="B93" s="2"/>
      <c r="C93" s="33"/>
      <c r="D93" s="34"/>
      <c r="E93" s="208" t="s">
        <v>3</v>
      </c>
      <c r="F93" s="208"/>
      <c r="G93" s="208"/>
      <c r="I93" s="124"/>
      <c r="J93" s="124"/>
    </row>
    <row r="94" spans="1:10" x14ac:dyDescent="0.25">
      <c r="A94" s="59"/>
      <c r="B94" s="2"/>
      <c r="C94" s="35"/>
      <c r="D94" s="2"/>
      <c r="E94" s="36" t="s">
        <v>4</v>
      </c>
      <c r="F94" s="37"/>
      <c r="G94" s="50"/>
      <c r="I94" s="124"/>
      <c r="J94" s="124"/>
    </row>
    <row r="95" spans="1:10" x14ac:dyDescent="0.25">
      <c r="A95" s="59"/>
      <c r="B95" s="60"/>
      <c r="C95" s="60"/>
      <c r="D95" s="60"/>
      <c r="E95" s="60"/>
      <c r="F95" s="60"/>
      <c r="G95" s="125"/>
      <c r="H95" s="61"/>
      <c r="I95" s="124"/>
      <c r="J95" s="124"/>
    </row>
    <row r="96" spans="1:10" x14ac:dyDescent="0.25">
      <c r="A96" s="59"/>
      <c r="B96" s="60"/>
      <c r="C96" s="60"/>
      <c r="D96" s="60"/>
      <c r="E96" s="60"/>
      <c r="F96" s="60"/>
      <c r="G96" s="125"/>
      <c r="H96" s="61"/>
      <c r="I96" s="62"/>
    </row>
    <row r="97" spans="1:9" x14ac:dyDescent="0.25">
      <c r="A97" s="59"/>
      <c r="B97" s="60"/>
      <c r="C97" s="60"/>
      <c r="D97" s="60"/>
      <c r="E97" s="60"/>
      <c r="F97" s="60"/>
      <c r="G97" s="125"/>
      <c r="H97" s="61"/>
      <c r="I97" s="62"/>
    </row>
    <row r="98" spans="1:9" x14ac:dyDescent="0.25">
      <c r="A98" s="59"/>
      <c r="B98" s="60"/>
      <c r="C98" s="60"/>
      <c r="D98" s="60"/>
      <c r="E98" s="60"/>
      <c r="F98" s="60"/>
      <c r="G98" s="125"/>
      <c r="H98" s="61"/>
      <c r="I98" s="62"/>
    </row>
  </sheetData>
  <sheetProtection password="B631" sheet="1" objects="1" scenarios="1" selectLockedCells="1"/>
  <dataConsolidate/>
  <mergeCells count="88">
    <mergeCell ref="B91:C91"/>
    <mergeCell ref="G91:H91"/>
    <mergeCell ref="E93:G93"/>
    <mergeCell ref="G85:H85"/>
    <mergeCell ref="G86:H86"/>
    <mergeCell ref="G87:H87"/>
    <mergeCell ref="G88:H88"/>
    <mergeCell ref="G89:H89"/>
    <mergeCell ref="G90:H90"/>
    <mergeCell ref="G84:H84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72:H72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60:H60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48:H48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36:H36"/>
    <mergeCell ref="B24:E24"/>
    <mergeCell ref="G24:H24"/>
    <mergeCell ref="B26:E26"/>
    <mergeCell ref="B28:H28"/>
    <mergeCell ref="G29:H29"/>
    <mergeCell ref="G30:H30"/>
    <mergeCell ref="G31:H31"/>
    <mergeCell ref="G32:H32"/>
    <mergeCell ref="G33:H33"/>
    <mergeCell ref="G34:H34"/>
    <mergeCell ref="G35:H35"/>
    <mergeCell ref="B17:E17"/>
    <mergeCell ref="G17:H17"/>
    <mergeCell ref="B20:E20"/>
    <mergeCell ref="G20:H20"/>
    <mergeCell ref="B22:E22"/>
    <mergeCell ref="G22:H22"/>
    <mergeCell ref="B15:E15"/>
    <mergeCell ref="G15:H15"/>
    <mergeCell ref="H1:I1"/>
    <mergeCell ref="H2:I2"/>
    <mergeCell ref="F3:F4"/>
    <mergeCell ref="H3:I3"/>
    <mergeCell ref="B5:E5"/>
    <mergeCell ref="B7:E7"/>
    <mergeCell ref="B9:E9"/>
    <mergeCell ref="B11:E11"/>
    <mergeCell ref="G11:H11"/>
    <mergeCell ref="B13:E13"/>
    <mergeCell ref="G13:H13"/>
  </mergeCells>
  <dataValidations count="1">
    <dataValidation type="list" showInputMessage="1" showErrorMessage="1" sqref="H2:I2">
      <formula1>$K$13:$K$18</formula1>
    </dataValidation>
  </dataValidations>
  <pageMargins left="0.39370078740157483" right="0.35433070866141736" top="0.59055118110236227" bottom="0.59055118110236227" header="0.51181102362204722" footer="0.51181102362204722"/>
  <pageSetup paperSize="9" scale="66" firstPageNumber="2" orientation="portrait" verticalDpi="300" r:id="rId1"/>
  <headerFooter alignWithMargins="0"/>
  <rowBreaks count="1" manualBreakCount="1">
    <brk id="91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N21"/>
  <sheetViews>
    <sheetView zoomScale="85" zoomScaleNormal="85" workbookViewId="0">
      <selection activeCell="I19" sqref="I19"/>
    </sheetView>
  </sheetViews>
  <sheetFormatPr defaultColWidth="9.109375" defaultRowHeight="13.2" x14ac:dyDescent="0.25"/>
  <cols>
    <col min="1" max="1" width="37.33203125" style="128" bestFit="1" customWidth="1"/>
    <col min="2" max="2" width="11.44140625" style="128" customWidth="1"/>
    <col min="3" max="4" width="9.109375" style="128"/>
    <col min="5" max="5" width="17.33203125" style="128" customWidth="1"/>
    <col min="6" max="6" width="16.88671875" style="128" customWidth="1"/>
    <col min="7" max="7" width="15.6640625" style="128" customWidth="1"/>
    <col min="8" max="10" width="9.109375" style="128" customWidth="1"/>
    <col min="11" max="13" width="17.5546875" style="128" customWidth="1"/>
    <col min="14" max="16384" width="9.109375" style="128"/>
  </cols>
  <sheetData>
    <row r="1" spans="1:14" x14ac:dyDescent="0.25">
      <c r="B1" s="128" t="s">
        <v>17</v>
      </c>
      <c r="C1" s="128" t="s">
        <v>18</v>
      </c>
      <c r="D1" s="128" t="s">
        <v>19</v>
      </c>
      <c r="E1" s="128" t="s">
        <v>20</v>
      </c>
      <c r="F1" s="128" t="s">
        <v>21</v>
      </c>
      <c r="J1" s="128" t="s">
        <v>12</v>
      </c>
      <c r="K1" s="128" t="s">
        <v>0</v>
      </c>
      <c r="L1" s="128" t="s">
        <v>27</v>
      </c>
      <c r="M1" s="128" t="s">
        <v>28</v>
      </c>
    </row>
    <row r="2" spans="1:14" x14ac:dyDescent="0.25">
      <c r="D2" s="129"/>
      <c r="E2" s="129"/>
      <c r="F2" s="129"/>
      <c r="H2" s="128" t="s">
        <v>23</v>
      </c>
      <c r="I2" s="128" t="s">
        <v>22</v>
      </c>
      <c r="K2" s="130"/>
      <c r="L2" s="130"/>
      <c r="M2" s="130"/>
    </row>
    <row r="3" spans="1:14" x14ac:dyDescent="0.25">
      <c r="A3" s="128">
        <v>1</v>
      </c>
      <c r="B3" s="128">
        <v>2</v>
      </c>
      <c r="C3" s="128">
        <v>3</v>
      </c>
      <c r="D3" s="128">
        <v>4</v>
      </c>
      <c r="E3" s="128">
        <v>5</v>
      </c>
      <c r="F3" s="128">
        <v>6</v>
      </c>
      <c r="G3" s="128">
        <v>7</v>
      </c>
      <c r="H3" s="128">
        <v>8</v>
      </c>
      <c r="I3" s="128">
        <v>9</v>
      </c>
      <c r="J3" s="128">
        <v>10</v>
      </c>
      <c r="K3" s="128">
        <v>11</v>
      </c>
      <c r="L3" s="128">
        <v>12</v>
      </c>
      <c r="M3" s="128">
        <v>13</v>
      </c>
      <c r="N3" s="128">
        <v>14</v>
      </c>
    </row>
    <row r="4" spans="1:14" s="140" customFormat="1" x14ac:dyDescent="0.25">
      <c r="A4" s="135" t="s">
        <v>47</v>
      </c>
      <c r="B4" s="135">
        <v>200000</v>
      </c>
      <c r="C4" s="135">
        <v>60</v>
      </c>
      <c r="D4" s="136">
        <v>0.55000000000000004</v>
      </c>
      <c r="E4" s="136">
        <v>0.12</v>
      </c>
      <c r="F4" s="136">
        <v>0</v>
      </c>
      <c r="G4" s="135" t="str">
        <f t="shared" ref="G4:G9" si="0">I$2&amp;" "&amp;B4&amp;" "&amp;H$2</f>
        <v>max. 200000 грн.</v>
      </c>
      <c r="H4" s="135">
        <f>B4+B4*E4</f>
        <v>224000</v>
      </c>
      <c r="I4" s="135"/>
      <c r="J4" s="135">
        <v>1</v>
      </c>
      <c r="K4" s="137">
        <f t="shared" ref="K4:K9" si="1">D4/12/(1-1/POWER(1+D4/12,C4))*H4+H4*F4</f>
        <v>11015.260020744676</v>
      </c>
      <c r="L4" s="138">
        <v>0</v>
      </c>
      <c r="M4" s="139">
        <v>0</v>
      </c>
      <c r="N4" s="135">
        <v>869</v>
      </c>
    </row>
    <row r="5" spans="1:14" s="140" customFormat="1" x14ac:dyDescent="0.25">
      <c r="A5" s="135" t="s">
        <v>48</v>
      </c>
      <c r="B5" s="135">
        <v>200000</v>
      </c>
      <c r="C5" s="135">
        <v>48</v>
      </c>
      <c r="D5" s="136">
        <v>0.55000000000000004</v>
      </c>
      <c r="E5" s="136">
        <v>0.12</v>
      </c>
      <c r="F5" s="136">
        <v>0</v>
      </c>
      <c r="G5" s="135" t="str">
        <f t="shared" si="0"/>
        <v>max. 200000 грн.</v>
      </c>
      <c r="H5" s="135">
        <f t="shared" ref="H5:H9" si="2">B5+B5*E5</f>
        <v>224000</v>
      </c>
      <c r="I5" s="135"/>
      <c r="J5" s="135">
        <v>1</v>
      </c>
      <c r="K5" s="137">
        <f t="shared" si="1"/>
        <v>11618.598221558052</v>
      </c>
      <c r="L5" s="138">
        <v>0</v>
      </c>
      <c r="M5" s="139">
        <v>0</v>
      </c>
      <c r="N5" s="135">
        <v>869</v>
      </c>
    </row>
    <row r="6" spans="1:14" s="140" customFormat="1" x14ac:dyDescent="0.25">
      <c r="A6" s="135" t="s">
        <v>49</v>
      </c>
      <c r="B6" s="135">
        <v>200000</v>
      </c>
      <c r="C6" s="135">
        <v>36</v>
      </c>
      <c r="D6" s="136">
        <v>0.55000000000000004</v>
      </c>
      <c r="E6" s="136">
        <v>0.12</v>
      </c>
      <c r="F6" s="136">
        <v>0</v>
      </c>
      <c r="G6" s="135" t="str">
        <f t="shared" si="0"/>
        <v>max. 200000 грн.</v>
      </c>
      <c r="H6" s="135">
        <f t="shared" si="2"/>
        <v>224000</v>
      </c>
      <c r="I6" s="135"/>
      <c r="J6" s="135">
        <v>1</v>
      </c>
      <c r="K6" s="137">
        <f t="shared" si="1"/>
        <v>12820.963699256436</v>
      </c>
      <c r="L6" s="138">
        <v>0</v>
      </c>
      <c r="M6" s="139">
        <v>0</v>
      </c>
      <c r="N6" s="135">
        <v>869</v>
      </c>
    </row>
    <row r="7" spans="1:14" s="140" customFormat="1" x14ac:dyDescent="0.25">
      <c r="A7" s="135" t="s">
        <v>50</v>
      </c>
      <c r="B7" s="135">
        <v>200000</v>
      </c>
      <c r="C7" s="135">
        <v>24</v>
      </c>
      <c r="D7" s="136">
        <v>0.55000000000000004</v>
      </c>
      <c r="E7" s="136">
        <v>0.12</v>
      </c>
      <c r="F7" s="136">
        <v>0</v>
      </c>
      <c r="G7" s="135" t="str">
        <f t="shared" si="0"/>
        <v>max. 200000 грн.</v>
      </c>
      <c r="H7" s="135">
        <f t="shared" si="2"/>
        <v>224000</v>
      </c>
      <c r="I7" s="135"/>
      <c r="J7" s="135">
        <v>1</v>
      </c>
      <c r="K7" s="137">
        <f t="shared" si="1"/>
        <v>15581.873326736753</v>
      </c>
      <c r="L7" s="138">
        <v>0</v>
      </c>
      <c r="M7" s="139">
        <v>0</v>
      </c>
      <c r="N7" s="135">
        <v>869</v>
      </c>
    </row>
    <row r="8" spans="1:14" s="140" customFormat="1" x14ac:dyDescent="0.25">
      <c r="A8" s="135" t="s">
        <v>51</v>
      </c>
      <c r="B8" s="135">
        <v>200000</v>
      </c>
      <c r="C8" s="135">
        <v>18</v>
      </c>
      <c r="D8" s="136">
        <v>0.5</v>
      </c>
      <c r="E8" s="136">
        <v>0.12</v>
      </c>
      <c r="F8" s="136">
        <v>0</v>
      </c>
      <c r="G8" s="135" t="str">
        <f t="shared" si="0"/>
        <v>max. 200000 грн.</v>
      </c>
      <c r="H8" s="135">
        <f t="shared" si="2"/>
        <v>224000</v>
      </c>
      <c r="I8" s="135"/>
      <c r="J8" s="135">
        <v>1</v>
      </c>
      <c r="K8" s="137">
        <f t="shared" si="1"/>
        <v>17935.036805080785</v>
      </c>
      <c r="L8" s="138">
        <v>0</v>
      </c>
      <c r="M8" s="139">
        <v>0</v>
      </c>
      <c r="N8" s="135">
        <v>869</v>
      </c>
    </row>
    <row r="9" spans="1:14" s="140" customFormat="1" x14ac:dyDescent="0.25">
      <c r="A9" s="135" t="s">
        <v>52</v>
      </c>
      <c r="B9" s="135">
        <v>200000</v>
      </c>
      <c r="C9" s="135">
        <v>12</v>
      </c>
      <c r="D9" s="136">
        <v>0.45</v>
      </c>
      <c r="E9" s="136">
        <v>0.12</v>
      </c>
      <c r="F9" s="136">
        <v>0</v>
      </c>
      <c r="G9" s="135" t="str">
        <f t="shared" si="0"/>
        <v>max. 200000 грн.</v>
      </c>
      <c r="H9" s="135">
        <f t="shared" si="2"/>
        <v>224000</v>
      </c>
      <c r="I9" s="135"/>
      <c r="J9" s="135">
        <v>1</v>
      </c>
      <c r="K9" s="137">
        <f t="shared" si="1"/>
        <v>23522.755419413839</v>
      </c>
      <c r="L9" s="138">
        <v>0</v>
      </c>
      <c r="M9" s="139">
        <v>0</v>
      </c>
      <c r="N9" s="135">
        <v>869</v>
      </c>
    </row>
    <row r="10" spans="1:14" x14ac:dyDescent="0.25">
      <c r="L10" s="128">
        <v>0</v>
      </c>
    </row>
    <row r="11" spans="1:14" x14ac:dyDescent="0.25">
      <c r="A11" s="166" t="s">
        <v>53</v>
      </c>
      <c r="B11" s="166">
        <v>500000</v>
      </c>
      <c r="C11" s="166">
        <v>36</v>
      </c>
      <c r="D11" s="167">
        <v>0.55000000000000004</v>
      </c>
      <c r="E11" s="167">
        <v>0.12</v>
      </c>
      <c r="F11" s="167">
        <v>0</v>
      </c>
      <c r="G11" s="166" t="str">
        <f t="shared" ref="G11:G14" si="3">I$2&amp;" "&amp;B11&amp;" "&amp;H$2</f>
        <v>max. 500000 грн.</v>
      </c>
      <c r="H11" s="166">
        <f t="shared" ref="H11:H14" si="4">B11+B11*E11</f>
        <v>560000</v>
      </c>
      <c r="I11" s="166"/>
      <c r="J11" s="166">
        <v>1</v>
      </c>
      <c r="K11" s="168">
        <f t="shared" ref="K11:K14" si="5">D11/12/(1-1/POWER(1+D11/12,C11))*H11+H11*F11</f>
        <v>32052.409248141088</v>
      </c>
      <c r="L11" s="169">
        <v>0</v>
      </c>
      <c r="M11" s="170">
        <v>0</v>
      </c>
      <c r="N11" s="166">
        <v>200000</v>
      </c>
    </row>
    <row r="12" spans="1:14" x14ac:dyDescent="0.25">
      <c r="A12" s="166" t="s">
        <v>54</v>
      </c>
      <c r="B12" s="166">
        <v>500000</v>
      </c>
      <c r="C12" s="166">
        <v>24</v>
      </c>
      <c r="D12" s="167">
        <v>0.55000000000000004</v>
      </c>
      <c r="E12" s="167">
        <v>0.12</v>
      </c>
      <c r="F12" s="167">
        <v>0</v>
      </c>
      <c r="G12" s="166" t="str">
        <f t="shared" si="3"/>
        <v>max. 500000 грн.</v>
      </c>
      <c r="H12" s="166">
        <f t="shared" si="4"/>
        <v>560000</v>
      </c>
      <c r="I12" s="166"/>
      <c r="J12" s="166">
        <v>1</v>
      </c>
      <c r="K12" s="168">
        <f t="shared" si="5"/>
        <v>38954.683316841882</v>
      </c>
      <c r="L12" s="169">
        <v>0</v>
      </c>
      <c r="M12" s="170">
        <v>0</v>
      </c>
      <c r="N12" s="166">
        <v>200000</v>
      </c>
    </row>
    <row r="13" spans="1:14" x14ac:dyDescent="0.25">
      <c r="A13" s="166" t="s">
        <v>55</v>
      </c>
      <c r="B13" s="166">
        <v>500000</v>
      </c>
      <c r="C13" s="166">
        <v>18</v>
      </c>
      <c r="D13" s="167">
        <v>0.5</v>
      </c>
      <c r="E13" s="167">
        <v>0.12</v>
      </c>
      <c r="F13" s="167">
        <v>0</v>
      </c>
      <c r="G13" s="166" t="str">
        <f t="shared" si="3"/>
        <v>max. 500000 грн.</v>
      </c>
      <c r="H13" s="166">
        <f t="shared" si="4"/>
        <v>560000</v>
      </c>
      <c r="I13" s="166"/>
      <c r="J13" s="166">
        <v>1</v>
      </c>
      <c r="K13" s="168">
        <f t="shared" si="5"/>
        <v>44837.592012701964</v>
      </c>
      <c r="L13" s="169">
        <v>0</v>
      </c>
      <c r="M13" s="170">
        <v>0</v>
      </c>
      <c r="N13" s="166">
        <v>200000</v>
      </c>
    </row>
    <row r="14" spans="1:14" x14ac:dyDescent="0.25">
      <c r="A14" s="166" t="s">
        <v>56</v>
      </c>
      <c r="B14" s="166">
        <v>500000</v>
      </c>
      <c r="C14" s="166">
        <v>12</v>
      </c>
      <c r="D14" s="167">
        <v>0.45</v>
      </c>
      <c r="E14" s="167">
        <v>0.12</v>
      </c>
      <c r="F14" s="167">
        <v>0</v>
      </c>
      <c r="G14" s="166" t="str">
        <f t="shared" si="3"/>
        <v>max. 500000 грн.</v>
      </c>
      <c r="H14" s="166">
        <f t="shared" si="4"/>
        <v>560000</v>
      </c>
      <c r="I14" s="166"/>
      <c r="J14" s="166">
        <v>1</v>
      </c>
      <c r="K14" s="168">
        <f t="shared" si="5"/>
        <v>58806.888548534596</v>
      </c>
      <c r="L14" s="169">
        <v>0</v>
      </c>
      <c r="M14" s="170">
        <v>0</v>
      </c>
      <c r="N14" s="166">
        <v>200000</v>
      </c>
    </row>
    <row r="16" spans="1:14" x14ac:dyDescent="0.25">
      <c r="A16" s="171" t="s">
        <v>57</v>
      </c>
      <c r="B16" s="171">
        <v>75000</v>
      </c>
      <c r="C16" s="171">
        <v>60</v>
      </c>
      <c r="D16" s="172">
        <v>0.55000000000000004</v>
      </c>
      <c r="E16" s="172">
        <v>0.12</v>
      </c>
      <c r="F16" s="172">
        <v>0</v>
      </c>
      <c r="G16" s="171" t="str">
        <f t="shared" ref="G16:G21" si="6">I$2&amp;" "&amp;B16&amp;" "&amp;H$2</f>
        <v>max. 75000 грн.</v>
      </c>
      <c r="H16" s="171">
        <f>B16+B16*E16</f>
        <v>84000</v>
      </c>
      <c r="I16" s="171"/>
      <c r="J16" s="171">
        <v>1</v>
      </c>
      <c r="K16" s="173">
        <f t="shared" ref="K16:K21" si="7">D16/12/(1-1/POWER(1+D16/12,C16))*H16+H16*F16</f>
        <v>4130.7225077792527</v>
      </c>
      <c r="L16" s="174">
        <v>0</v>
      </c>
      <c r="M16" s="175">
        <v>0</v>
      </c>
      <c r="N16" s="171">
        <v>869</v>
      </c>
    </row>
    <row r="17" spans="1:14" x14ac:dyDescent="0.25">
      <c r="A17" s="171" t="s">
        <v>58</v>
      </c>
      <c r="B17" s="171">
        <v>75000</v>
      </c>
      <c r="C17" s="171">
        <v>48</v>
      </c>
      <c r="D17" s="172">
        <v>0.55000000000000004</v>
      </c>
      <c r="E17" s="172">
        <v>0.12</v>
      </c>
      <c r="F17" s="172">
        <v>0</v>
      </c>
      <c r="G17" s="171" t="str">
        <f t="shared" si="6"/>
        <v>max. 75000 грн.</v>
      </c>
      <c r="H17" s="171">
        <f t="shared" ref="H17:H21" si="8">B17+B17*E17</f>
        <v>84000</v>
      </c>
      <c r="I17" s="171"/>
      <c r="J17" s="171">
        <v>1</v>
      </c>
      <c r="K17" s="173">
        <f t="shared" si="7"/>
        <v>4356.9743330842693</v>
      </c>
      <c r="L17" s="174">
        <v>0</v>
      </c>
      <c r="M17" s="175">
        <v>0</v>
      </c>
      <c r="N17" s="171">
        <v>869</v>
      </c>
    </row>
    <row r="18" spans="1:14" x14ac:dyDescent="0.25">
      <c r="A18" s="171" t="s">
        <v>59</v>
      </c>
      <c r="B18" s="171">
        <v>75000</v>
      </c>
      <c r="C18" s="171">
        <v>36</v>
      </c>
      <c r="D18" s="172">
        <v>0.55000000000000004</v>
      </c>
      <c r="E18" s="172">
        <v>0.12</v>
      </c>
      <c r="F18" s="172">
        <v>0</v>
      </c>
      <c r="G18" s="171" t="str">
        <f t="shared" si="6"/>
        <v>max. 75000 грн.</v>
      </c>
      <c r="H18" s="171">
        <f t="shared" si="8"/>
        <v>84000</v>
      </c>
      <c r="I18" s="171"/>
      <c r="J18" s="171">
        <v>1</v>
      </c>
      <c r="K18" s="173">
        <f t="shared" si="7"/>
        <v>4807.8613872211636</v>
      </c>
      <c r="L18" s="174">
        <v>0</v>
      </c>
      <c r="M18" s="175">
        <v>0</v>
      </c>
      <c r="N18" s="171">
        <v>869</v>
      </c>
    </row>
    <row r="19" spans="1:14" x14ac:dyDescent="0.25">
      <c r="A19" s="171" t="s">
        <v>60</v>
      </c>
      <c r="B19" s="171">
        <v>75000</v>
      </c>
      <c r="C19" s="171">
        <v>24</v>
      </c>
      <c r="D19" s="172">
        <v>0.55000000000000004</v>
      </c>
      <c r="E19" s="172">
        <v>0.12</v>
      </c>
      <c r="F19" s="172">
        <v>0</v>
      </c>
      <c r="G19" s="171" t="str">
        <f t="shared" si="6"/>
        <v>max. 75000 грн.</v>
      </c>
      <c r="H19" s="171">
        <f t="shared" si="8"/>
        <v>84000</v>
      </c>
      <c r="I19" s="171"/>
      <c r="J19" s="171">
        <v>1</v>
      </c>
      <c r="K19" s="173">
        <f t="shared" si="7"/>
        <v>5843.2024975262821</v>
      </c>
      <c r="L19" s="174">
        <v>0</v>
      </c>
      <c r="M19" s="175">
        <v>0</v>
      </c>
      <c r="N19" s="171">
        <v>869</v>
      </c>
    </row>
    <row r="20" spans="1:14" x14ac:dyDescent="0.25">
      <c r="A20" s="171" t="s">
        <v>61</v>
      </c>
      <c r="B20" s="171">
        <v>75000</v>
      </c>
      <c r="C20" s="171">
        <v>18</v>
      </c>
      <c r="D20" s="172">
        <v>0.5</v>
      </c>
      <c r="E20" s="172">
        <v>0.12</v>
      </c>
      <c r="F20" s="172">
        <v>0</v>
      </c>
      <c r="G20" s="171" t="str">
        <f t="shared" si="6"/>
        <v>max. 75000 грн.</v>
      </c>
      <c r="H20" s="171">
        <f t="shared" si="8"/>
        <v>84000</v>
      </c>
      <c r="I20" s="171"/>
      <c r="J20" s="171">
        <v>1</v>
      </c>
      <c r="K20" s="173">
        <f t="shared" si="7"/>
        <v>6725.6388019052947</v>
      </c>
      <c r="L20" s="174">
        <v>0</v>
      </c>
      <c r="M20" s="175">
        <v>0</v>
      </c>
      <c r="N20" s="171">
        <v>869</v>
      </c>
    </row>
    <row r="21" spans="1:14" x14ac:dyDescent="0.25">
      <c r="A21" s="171" t="s">
        <v>62</v>
      </c>
      <c r="B21" s="171">
        <v>75000</v>
      </c>
      <c r="C21" s="171">
        <v>12</v>
      </c>
      <c r="D21" s="172">
        <v>0.45</v>
      </c>
      <c r="E21" s="172">
        <v>0.12</v>
      </c>
      <c r="F21" s="172">
        <v>0</v>
      </c>
      <c r="G21" s="171" t="str">
        <f t="shared" si="6"/>
        <v>max. 75000 грн.</v>
      </c>
      <c r="H21" s="171">
        <f t="shared" si="8"/>
        <v>84000</v>
      </c>
      <c r="I21" s="171"/>
      <c r="J21" s="171">
        <v>1</v>
      </c>
      <c r="K21" s="173">
        <f t="shared" si="7"/>
        <v>8821.0332822801884</v>
      </c>
      <c r="L21" s="174">
        <v>0</v>
      </c>
      <c r="M21" s="175">
        <v>0</v>
      </c>
      <c r="N21" s="171">
        <v>869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3"/>
  <sheetViews>
    <sheetView zoomScale="70" zoomScaleNormal="70" workbookViewId="0">
      <selection activeCell="E1" sqref="E1"/>
    </sheetView>
  </sheetViews>
  <sheetFormatPr defaultRowHeight="13.2" x14ac:dyDescent="0.25"/>
  <cols>
    <col min="1" max="1" width="48" customWidth="1"/>
    <col min="3" max="3" width="21.109375" customWidth="1"/>
    <col min="4" max="4" width="22.33203125" customWidth="1"/>
    <col min="5" max="5" width="14.44140625" customWidth="1"/>
    <col min="7" max="7" width="10.44140625" customWidth="1"/>
  </cols>
  <sheetData>
    <row r="1" spans="1:8" ht="21.6" thickBot="1" x14ac:dyDescent="0.3">
      <c r="A1" s="215" t="s">
        <v>13</v>
      </c>
      <c r="B1" s="216"/>
      <c r="C1" s="216"/>
      <c r="D1" s="217"/>
      <c r="E1" s="70">
        <v>5000</v>
      </c>
      <c r="F1" s="71" t="s">
        <v>8</v>
      </c>
      <c r="G1" s="71" t="s">
        <v>7</v>
      </c>
      <c r="H1" s="72"/>
    </row>
    <row r="2" spans="1:8" x14ac:dyDescent="0.25">
      <c r="A2" s="73"/>
      <c r="B2" s="5"/>
      <c r="C2" s="73"/>
      <c r="D2" s="5"/>
      <c r="E2" s="74"/>
      <c r="F2" s="75"/>
      <c r="G2" s="76"/>
      <c r="H2" s="5"/>
    </row>
    <row r="3" spans="1:8" x14ac:dyDescent="0.25">
      <c r="A3" s="210" t="s">
        <v>30</v>
      </c>
      <c r="B3" s="211"/>
      <c r="C3" s="211"/>
      <c r="D3" s="212"/>
      <c r="E3" s="10"/>
      <c r="F3" s="11"/>
      <c r="G3" s="10"/>
      <c r="H3" s="72"/>
    </row>
    <row r="4" spans="1:8" x14ac:dyDescent="0.25">
      <c r="A4" s="73"/>
      <c r="B4" s="5"/>
      <c r="C4" s="73"/>
      <c r="D4" s="5"/>
      <c r="E4" s="78"/>
      <c r="F4" s="75"/>
      <c r="G4" s="76"/>
      <c r="H4" s="5"/>
    </row>
    <row r="5" spans="1:8" x14ac:dyDescent="0.25">
      <c r="A5" s="210" t="s">
        <v>29</v>
      </c>
      <c r="B5" s="211"/>
      <c r="C5" s="211"/>
      <c r="D5" s="212"/>
      <c r="E5" s="10"/>
      <c r="F5" s="11"/>
      <c r="G5" s="11"/>
      <c r="H5" s="72"/>
    </row>
    <row r="6" spans="1:8" x14ac:dyDescent="0.25">
      <c r="A6" s="73"/>
      <c r="B6" s="5"/>
      <c r="C6" s="73"/>
      <c r="D6" s="5"/>
      <c r="E6" s="79"/>
      <c r="F6" s="75"/>
      <c r="G6" s="76"/>
      <c r="H6" s="5"/>
    </row>
    <row r="7" spans="1:8" x14ac:dyDescent="0.25">
      <c r="A7" s="210" t="s">
        <v>31</v>
      </c>
      <c r="B7" s="211"/>
      <c r="C7" s="211"/>
      <c r="D7" s="212"/>
      <c r="E7" s="10"/>
      <c r="F7" s="11"/>
      <c r="G7" s="11"/>
      <c r="H7" s="72"/>
    </row>
    <row r="8" spans="1:8" x14ac:dyDescent="0.25">
      <c r="A8" s="73"/>
      <c r="B8" s="5"/>
      <c r="C8" s="73"/>
      <c r="D8" s="5"/>
      <c r="E8" s="78"/>
      <c r="F8" s="75"/>
      <c r="G8" s="76"/>
      <c r="H8" s="5"/>
    </row>
    <row r="9" spans="1:8" x14ac:dyDescent="0.25">
      <c r="A9" s="210" t="s">
        <v>46</v>
      </c>
      <c r="B9" s="211"/>
      <c r="C9" s="211"/>
      <c r="D9" s="212"/>
      <c r="E9" s="80"/>
      <c r="F9" s="11"/>
      <c r="G9" s="11"/>
      <c r="H9" s="72"/>
    </row>
    <row r="10" spans="1:8" x14ac:dyDescent="0.25">
      <c r="A10" s="81"/>
      <c r="B10" s="15"/>
      <c r="C10" s="81"/>
      <c r="D10" s="82"/>
      <c r="E10" s="56"/>
      <c r="F10" s="75"/>
      <c r="G10" s="83"/>
      <c r="H10" s="15"/>
    </row>
    <row r="11" spans="1:8" x14ac:dyDescent="0.25">
      <c r="A11" s="81"/>
      <c r="B11" s="15"/>
      <c r="C11" s="81"/>
      <c r="D11" s="84"/>
      <c r="E11" s="56"/>
      <c r="F11" s="75"/>
      <c r="G11" s="85"/>
      <c r="H11" s="15"/>
    </row>
    <row r="12" spans="1:8" x14ac:dyDescent="0.25">
      <c r="A12" s="210" t="s">
        <v>45</v>
      </c>
      <c r="B12" s="211"/>
      <c r="C12" s="211"/>
      <c r="D12" s="212"/>
      <c r="E12" s="17"/>
      <c r="F12" s="17"/>
      <c r="G12" s="18"/>
      <c r="H12" s="15"/>
    </row>
    <row r="13" spans="1:8" x14ac:dyDescent="0.25">
      <c r="A13" s="57"/>
      <c r="B13" s="57"/>
      <c r="C13" s="57"/>
      <c r="D13" s="57"/>
      <c r="E13" s="86"/>
      <c r="F13" s="87"/>
      <c r="G13" s="88"/>
      <c r="H13" s="15"/>
    </row>
    <row r="14" spans="1:8" x14ac:dyDescent="0.25">
      <c r="A14" s="210" t="s">
        <v>38</v>
      </c>
      <c r="B14" s="211"/>
      <c r="C14" s="211"/>
      <c r="D14" s="212"/>
      <c r="E14" s="68"/>
      <c r="F14" s="69"/>
      <c r="G14" s="18"/>
      <c r="H14" s="15"/>
    </row>
    <row r="15" spans="1:8" x14ac:dyDescent="0.25">
      <c r="A15" s="77"/>
      <c r="B15" s="77"/>
      <c r="C15" s="77"/>
      <c r="D15" s="77"/>
      <c r="E15" s="89"/>
      <c r="F15" s="87"/>
      <c r="G15" s="88"/>
      <c r="H15" s="15"/>
    </row>
    <row r="16" spans="1:8" x14ac:dyDescent="0.25">
      <c r="A16" s="210" t="s">
        <v>44</v>
      </c>
      <c r="B16" s="211"/>
      <c r="C16" s="211"/>
      <c r="D16" s="212"/>
      <c r="E16" s="25"/>
      <c r="F16" s="11"/>
      <c r="G16" s="11"/>
      <c r="H16" s="15"/>
    </row>
    <row r="17" spans="1:8" x14ac:dyDescent="0.25">
      <c r="A17" s="57"/>
      <c r="B17" s="57"/>
      <c r="C17" s="57"/>
      <c r="D17" s="57"/>
      <c r="E17" s="145"/>
      <c r="F17" s="146"/>
      <c r="G17" s="146"/>
      <c r="H17" s="15"/>
    </row>
    <row r="18" spans="1:8" x14ac:dyDescent="0.25">
      <c r="A18" s="57" t="s">
        <v>37</v>
      </c>
      <c r="B18" s="57"/>
      <c r="C18" s="57"/>
      <c r="D18" s="57"/>
      <c r="E18" s="145"/>
      <c r="F18" s="146"/>
      <c r="G18" s="146"/>
      <c r="H18" s="15"/>
    </row>
    <row r="19" spans="1:8" x14ac:dyDescent="0.25">
      <c r="A19" s="57"/>
      <c r="B19" s="57"/>
      <c r="C19" s="57"/>
      <c r="D19" s="57"/>
      <c r="E19" s="90"/>
      <c r="F19" s="87"/>
      <c r="G19" s="88"/>
      <c r="H19" s="15"/>
    </row>
    <row r="20" spans="1:8" ht="30.6" x14ac:dyDescent="0.25">
      <c r="A20" s="213" t="s">
        <v>5</v>
      </c>
      <c r="B20" s="214"/>
      <c r="C20" s="91" t="s">
        <v>0</v>
      </c>
      <c r="D20" s="92" t="s">
        <v>25</v>
      </c>
      <c r="E20" s="93" t="s">
        <v>10</v>
      </c>
      <c r="F20" s="93" t="s">
        <v>9</v>
      </c>
      <c r="G20" s="93" t="s">
        <v>11</v>
      </c>
      <c r="H20" s="93" t="s">
        <v>24</v>
      </c>
    </row>
    <row r="21" spans="1:8" x14ac:dyDescent="0.25">
      <c r="A21" s="218" t="s">
        <v>16</v>
      </c>
      <c r="B21" s="219"/>
      <c r="C21" s="48">
        <f>IF(ISERROR(L16),"",L16)</f>
        <v>0</v>
      </c>
      <c r="D21" s="48">
        <f>IF(ISERROR(L12),"",L12)</f>
        <v>0</v>
      </c>
      <c r="E21" s="65">
        <f>IF(ISERROR(L14),"",L14)</f>
        <v>0</v>
      </c>
      <c r="F21" s="27" t="str">
        <f>IF(ISERROR(D21/#REF!),"",D21/#REF!)</f>
        <v/>
      </c>
      <c r="G21" s="28" t="str">
        <f>IF(ISERROR(D21/#REF!/F$3),"",D21/#REF!/F$3)</f>
        <v/>
      </c>
      <c r="H21" s="28" t="str">
        <f>IF(ISERROR(C21/F$3),"",C21/F$3)</f>
        <v/>
      </c>
    </row>
    <row r="22" spans="1:8" x14ac:dyDescent="0.25">
      <c r="A22" s="218" t="s">
        <v>6</v>
      </c>
      <c r="B22" s="219"/>
      <c r="C22" s="49">
        <f>IF(ISERROR(M16),"",M16)</f>
        <v>0</v>
      </c>
      <c r="D22" s="49">
        <f>IF(ISERROR(M12),"",M12)</f>
        <v>0</v>
      </c>
      <c r="E22" s="66">
        <f>IF(ISERROR(M14),"",M14)</f>
        <v>0</v>
      </c>
      <c r="F22" s="27" t="str">
        <f>IF(ISERROR(D22/#REF!),"",D22/#REF!)</f>
        <v/>
      </c>
      <c r="G22" s="28" t="str">
        <f>IF(ISERROR(D22/#REF!/F$3),"",D22/#REF!/F$3)</f>
        <v/>
      </c>
      <c r="H22" s="28" t="str">
        <f>IF(ISERROR(C22/F$3),"",C22/F$3)</f>
        <v/>
      </c>
    </row>
    <row r="23" spans="1:8" x14ac:dyDescent="0.25">
      <c r="A23" s="218" t="s">
        <v>14</v>
      </c>
      <c r="B23" s="219"/>
      <c r="C23" s="49">
        <f>IF(ISERROR(N16),"",N16)</f>
        <v>0</v>
      </c>
      <c r="D23" s="49">
        <f>IF(ISERROR(N12),"",N12)</f>
        <v>0</v>
      </c>
      <c r="E23" s="66">
        <f>IF(ISERROR(N14),"",N14)</f>
        <v>0</v>
      </c>
      <c r="F23" s="27" t="str">
        <f>IF(ISERROR(D23/#REF!),"",D23/#REF!)</f>
        <v/>
      </c>
      <c r="G23" s="28" t="str">
        <f>IF(ISERROR(D23/#REF!/F$3),"",D23/#REF!/F$3)</f>
        <v/>
      </c>
      <c r="H23" s="28" t="str">
        <f>IF(ISERROR(C23/F$3),"",C23/F$3)</f>
        <v/>
      </c>
    </row>
    <row r="24" spans="1:8" x14ac:dyDescent="0.25">
      <c r="A24" s="218" t="s">
        <v>15</v>
      </c>
      <c r="B24" s="219"/>
      <c r="C24" s="49">
        <f>IF(ISERROR(O16),"",O16)</f>
        <v>0</v>
      </c>
      <c r="D24" s="49">
        <f>IF(ISERROR(O12),"",O12)</f>
        <v>0</v>
      </c>
      <c r="E24" s="66">
        <f>IF(ISERROR(O14),"",O14)</f>
        <v>0</v>
      </c>
      <c r="F24" s="27" t="str">
        <f>IF(ISERROR(D24/#REF!),"",D24/#REF!)</f>
        <v/>
      </c>
      <c r="G24" s="28" t="str">
        <f>IF(ISERROR(D24/#REF!/F$3),"",D24/#REF!/F$3)</f>
        <v/>
      </c>
      <c r="H24" s="28" t="str">
        <f>IF(ISERROR(C24/F$3),"",C24/F$3)</f>
        <v/>
      </c>
    </row>
    <row r="25" spans="1:8" x14ac:dyDescent="0.25">
      <c r="A25" s="73"/>
      <c r="B25" s="57"/>
      <c r="C25" s="73"/>
      <c r="D25" s="94"/>
      <c r="E25" s="95"/>
      <c r="F25" s="96"/>
      <c r="G25" s="75"/>
      <c r="H25" s="9"/>
    </row>
    <row r="26" spans="1:8" ht="13.8" thickBot="1" x14ac:dyDescent="0.3">
      <c r="A26" s="97"/>
      <c r="B26" s="57"/>
      <c r="C26" s="97"/>
      <c r="D26" s="98"/>
      <c r="E26" s="99"/>
      <c r="F26" s="88"/>
      <c r="G26" s="87"/>
      <c r="H26" s="15"/>
    </row>
    <row r="27" spans="1:8" ht="18" thickBot="1" x14ac:dyDescent="0.3">
      <c r="A27" s="221" t="s">
        <v>36</v>
      </c>
      <c r="B27" s="222"/>
      <c r="C27" s="222"/>
      <c r="D27" s="222"/>
      <c r="E27" s="222"/>
      <c r="F27" s="222"/>
      <c r="G27" s="223"/>
      <c r="H27" s="72"/>
    </row>
    <row r="28" spans="1:8" ht="31.2" thickBot="1" x14ac:dyDescent="0.3">
      <c r="A28" s="224" t="s">
        <v>2</v>
      </c>
      <c r="B28" s="225"/>
      <c r="C28" s="100" t="s">
        <v>34</v>
      </c>
      <c r="D28" s="100" t="s">
        <v>32</v>
      </c>
      <c r="E28" s="100" t="s">
        <v>33</v>
      </c>
      <c r="F28" s="226" t="s">
        <v>35</v>
      </c>
      <c r="G28" s="227"/>
      <c r="H28" s="72"/>
    </row>
    <row r="29" spans="1:8" x14ac:dyDescent="0.25">
      <c r="A29" s="5"/>
      <c r="B29" s="5"/>
      <c r="C29" s="5"/>
      <c r="D29" s="5"/>
      <c r="E29" s="5"/>
      <c r="F29" s="76"/>
      <c r="G29" s="75"/>
      <c r="H29" s="72"/>
    </row>
    <row r="30" spans="1:8" x14ac:dyDescent="0.25">
      <c r="A30" s="5" t="s">
        <v>3</v>
      </c>
      <c r="B30" s="101"/>
      <c r="C30" s="102"/>
      <c r="D30" s="220"/>
      <c r="E30" s="220"/>
      <c r="F30" s="220"/>
      <c r="G30" s="75"/>
      <c r="H30" s="72"/>
    </row>
    <row r="31" spans="1:8" x14ac:dyDescent="0.25">
      <c r="A31" s="5" t="s">
        <v>4</v>
      </c>
      <c r="B31" s="103"/>
      <c r="C31" s="5"/>
      <c r="D31" s="41"/>
      <c r="E31" s="42"/>
      <c r="F31" s="104"/>
      <c r="G31" s="75"/>
      <c r="H31" s="72"/>
    </row>
    <row r="32" spans="1:8" x14ac:dyDescent="0.25">
      <c r="A32" s="40"/>
      <c r="B32" s="40"/>
      <c r="C32" s="40"/>
      <c r="D32" s="40"/>
      <c r="E32" s="40"/>
      <c r="F32" s="40"/>
      <c r="G32" s="40"/>
      <c r="H32" s="40"/>
    </row>
    <row r="33" spans="1:2" x14ac:dyDescent="0.25">
      <c r="A33" t="s">
        <v>26</v>
      </c>
      <c r="B33">
        <v>30.4</v>
      </c>
    </row>
  </sheetData>
  <sheetProtection selectLockedCells="1"/>
  <mergeCells count="17">
    <mergeCell ref="A21:B21"/>
    <mergeCell ref="A22:B22"/>
    <mergeCell ref="D30:F30"/>
    <mergeCell ref="A24:B24"/>
    <mergeCell ref="A27:G27"/>
    <mergeCell ref="A28:B28"/>
    <mergeCell ref="F28:G28"/>
    <mergeCell ref="A23:B23"/>
    <mergeCell ref="A12:D12"/>
    <mergeCell ref="A14:D14"/>
    <mergeCell ref="A16:D16"/>
    <mergeCell ref="A20:B20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Зустрічна пропозиція до 200</vt:lpstr>
      <vt:lpstr>Зустрічна пропозиція 200-500 </vt:lpstr>
      <vt:lpstr>Зустрічна пропозиція+відділення</vt:lpstr>
      <vt:lpstr>Лист2</vt:lpstr>
      <vt:lpstr>Назви</vt:lpstr>
      <vt:lpstr>Лист4</vt:lpstr>
      <vt:lpstr>'Зустрічна пропозиція 200-500 '!Область_печати</vt:lpstr>
      <vt:lpstr>'Зустрічна пропозиція до 200'!Область_печати</vt:lpstr>
      <vt:lpstr>'Зустрічна пропозиція+відділення'!Область_печати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Давиденко Оксана</cp:lastModifiedBy>
  <cp:lastPrinted>2020-02-12T09:25:28Z</cp:lastPrinted>
  <dcterms:created xsi:type="dcterms:W3CDTF">2008-03-13T06:51:50Z</dcterms:created>
  <dcterms:modified xsi:type="dcterms:W3CDTF">2021-10-12T09:57:31Z</dcterms:modified>
</cp:coreProperties>
</file>