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9516" yWindow="-60" windowWidth="11280" windowHeight="8448" tabRatio="863"/>
  </bookViews>
  <sheets>
    <sheet name="КРЕДИТ НА ПІДТРИМКУ БІЗНЕСУ ФОП" sheetId="164" r:id="rId1"/>
    <sheet name="Лист2" sheetId="165" state="hidden" r:id="rId2"/>
    <sheet name="Назви" sheetId="161" state="hidden" r:id="rId3"/>
  </sheets>
  <definedNames>
    <definedName name="_xlnm.Print_Area" localSheetId="0">'КРЕДИТ НА ПІДТРИМКУ БІЗНЕСУ ФОП'!$A$1:$I$57</definedName>
  </definedNames>
  <calcPr calcId="145621"/>
</workbook>
</file>

<file path=xl/calcChain.xml><?xml version="1.0" encoding="utf-8"?>
<calcChain xmlns="http://schemas.openxmlformats.org/spreadsheetml/2006/main">
  <c r="N6" i="165" l="1"/>
  <c r="I27" i="164"/>
  <c r="H6" i="165" l="1"/>
  <c r="B8" i="164" l="1"/>
  <c r="G4" i="164" l="1"/>
  <c r="G3" i="164" l="1"/>
  <c r="L6" i="165" l="1"/>
  <c r="C28" i="164" l="1"/>
  <c r="C29" i="164" s="1"/>
  <c r="C30" i="164" s="1"/>
  <c r="C31" i="164" s="1"/>
  <c r="C32" i="164" s="1"/>
  <c r="C33" i="164" s="1"/>
  <c r="C34" i="164" s="1"/>
  <c r="C35" i="164" s="1"/>
  <c r="C36" i="164" s="1"/>
  <c r="C37" i="164" s="1"/>
  <c r="C38" i="164" s="1"/>
  <c r="C39" i="164" s="1"/>
  <c r="C40" i="164" s="1"/>
  <c r="C41" i="164" l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K6" i="165"/>
  <c r="G6" i="165"/>
  <c r="H2" i="164" s="1"/>
  <c r="E1" i="164"/>
  <c r="C19" i="161"/>
  <c r="H19" i="161" s="1"/>
  <c r="D19" i="161"/>
  <c r="F19" i="161" s="1"/>
  <c r="E19" i="161"/>
  <c r="G19" i="161"/>
  <c r="C20" i="161"/>
  <c r="H20" i="161" s="1"/>
  <c r="D20" i="161"/>
  <c r="G20" i="161" s="1"/>
  <c r="E20" i="161"/>
  <c r="F20" i="161"/>
  <c r="C21" i="161"/>
  <c r="H21" i="161" s="1"/>
  <c r="D21" i="161"/>
  <c r="G21" i="161" s="1"/>
  <c r="E21" i="161"/>
  <c r="F21" i="161"/>
  <c r="C22" i="161"/>
  <c r="H22" i="161" s="1"/>
  <c r="D22" i="161"/>
  <c r="G22" i="161" s="1"/>
  <c r="E22" i="161"/>
  <c r="F22" i="161"/>
  <c r="F1" i="164"/>
  <c r="G2" i="164"/>
  <c r="B4" i="164"/>
  <c r="H4" i="164"/>
  <c r="B6" i="164"/>
  <c r="C6" i="164"/>
  <c r="D6" i="164"/>
  <c r="E6" i="164"/>
  <c r="F6" i="164"/>
  <c r="G6" i="164" s="1"/>
  <c r="C8" i="164"/>
  <c r="D8" i="164"/>
  <c r="E8" i="164"/>
  <c r="F8" i="164"/>
  <c r="E13" i="164" s="1"/>
  <c r="I28" i="164" s="1"/>
  <c r="B10" i="164"/>
  <c r="C10" i="164"/>
  <c r="D10" i="164"/>
  <c r="E10" i="164"/>
  <c r="F10" i="164"/>
  <c r="B12" i="164"/>
  <c r="C12" i="164"/>
  <c r="D12" i="164"/>
  <c r="E12" i="164"/>
  <c r="F12" i="164"/>
  <c r="C15" i="164"/>
  <c r="D15" i="164"/>
  <c r="E15" i="164"/>
  <c r="B17" i="164"/>
  <c r="C17" i="164"/>
  <c r="D17" i="164"/>
  <c r="E17" i="164"/>
  <c r="B19" i="164"/>
  <c r="C19" i="164"/>
  <c r="D19" i="164"/>
  <c r="E19" i="164"/>
  <c r="F19" i="164"/>
  <c r="G19" i="164"/>
  <c r="H19" i="164"/>
  <c r="I19" i="164"/>
  <c r="A20" i="164"/>
  <c r="A21" i="164"/>
  <c r="A22" i="164"/>
  <c r="A23" i="164"/>
  <c r="B26" i="164"/>
  <c r="B27" i="164"/>
  <c r="D27" i="164"/>
  <c r="E27" i="164"/>
  <c r="F27" i="164"/>
  <c r="G27" i="164"/>
  <c r="E2" i="164" l="1"/>
  <c r="E14" i="164" l="1"/>
  <c r="G15" i="164" s="1"/>
  <c r="G28" i="164"/>
  <c r="F2" i="164"/>
  <c r="E48" i="164" l="1"/>
  <c r="E45" i="164"/>
  <c r="E43" i="164"/>
  <c r="E46" i="164"/>
  <c r="E35" i="164"/>
  <c r="E33" i="164"/>
  <c r="E36" i="164"/>
  <c r="E34" i="164"/>
  <c r="E30" i="164"/>
  <c r="E32" i="164"/>
  <c r="E52" i="164"/>
  <c r="E51" i="164"/>
  <c r="E50" i="164"/>
  <c r="E49" i="164"/>
  <c r="E44" i="164"/>
  <c r="E39" i="164"/>
  <c r="E38" i="164"/>
  <c r="E41" i="164"/>
  <c r="E29" i="164"/>
  <c r="E40" i="164"/>
  <c r="E31" i="164"/>
  <c r="E47" i="164"/>
  <c r="E42" i="164"/>
  <c r="E37" i="164"/>
  <c r="F29" i="164"/>
  <c r="D20" i="164"/>
  <c r="I20" i="164" s="1"/>
  <c r="D21" i="164"/>
  <c r="I21" i="164" s="1"/>
  <c r="D29" i="164" l="1"/>
  <c r="G29" i="164" s="1"/>
  <c r="E54" i="164"/>
  <c r="E20" i="164"/>
  <c r="H15" i="164"/>
  <c r="D23" i="164"/>
  <c r="I23" i="164" s="1"/>
  <c r="F21" i="164"/>
  <c r="E21" i="164"/>
  <c r="D22" i="164"/>
  <c r="I22" i="164" s="1"/>
  <c r="F30" i="164" l="1"/>
  <c r="D30" i="164" s="1"/>
  <c r="G30" i="164" s="1"/>
  <c r="F20" i="164"/>
  <c r="G20" i="164"/>
  <c r="H20" i="164"/>
  <c r="F22" i="164"/>
  <c r="E22" i="164"/>
  <c r="H21" i="164"/>
  <c r="G21" i="164"/>
  <c r="F23" i="164"/>
  <c r="E23" i="164"/>
  <c r="F31" i="164" l="1"/>
  <c r="D31" i="164" s="1"/>
  <c r="G31" i="164" s="1"/>
  <c r="G23" i="164"/>
  <c r="H23" i="164"/>
  <c r="H22" i="164"/>
  <c r="G22" i="164"/>
  <c r="F32" i="164" l="1"/>
  <c r="D32" i="164" s="1"/>
  <c r="G32" i="164" s="1"/>
  <c r="F33" i="164" l="1"/>
  <c r="D33" i="164" s="1"/>
  <c r="F34" i="164" s="1"/>
  <c r="D34" i="164" s="1"/>
  <c r="G33" i="164" l="1"/>
  <c r="F35" i="164"/>
  <c r="G34" i="164"/>
  <c r="D35" i="164" l="1"/>
  <c r="F36" i="164" l="1"/>
  <c r="G35" i="164"/>
  <c r="D36" i="164" l="1"/>
  <c r="F37" i="164" s="1"/>
  <c r="G36" i="164" l="1"/>
  <c r="D37" i="164"/>
  <c r="F38" i="164" s="1"/>
  <c r="G37" i="164" l="1"/>
  <c r="D38" i="164"/>
  <c r="F39" i="164" s="1"/>
  <c r="D39" i="164" l="1"/>
  <c r="F40" i="164" s="1"/>
  <c r="G38" i="164"/>
  <c r="D40" i="164" l="1"/>
  <c r="F41" i="164" s="1"/>
  <c r="G39" i="164"/>
  <c r="G40" i="164" l="1"/>
  <c r="D41" i="164"/>
  <c r="F42" i="164" s="1"/>
  <c r="G41" i="164" l="1"/>
  <c r="D42" i="164"/>
  <c r="F43" i="164" s="1"/>
  <c r="D43" i="164" l="1"/>
  <c r="F44" i="164" s="1"/>
  <c r="G42" i="164"/>
  <c r="D44" i="164" l="1"/>
  <c r="F45" i="164" s="1"/>
  <c r="G43" i="164"/>
  <c r="D45" i="164" l="1"/>
  <c r="F46" i="164" s="1"/>
  <c r="G44" i="164"/>
  <c r="D46" i="164" l="1"/>
  <c r="F47" i="164" s="1"/>
  <c r="G45" i="164"/>
  <c r="D47" i="164" l="1"/>
  <c r="F48" i="164" s="1"/>
  <c r="G46" i="164"/>
  <c r="D48" i="164" l="1"/>
  <c r="F49" i="164" s="1"/>
  <c r="G47" i="164"/>
  <c r="D49" i="164" l="1"/>
  <c r="F50" i="164" s="1"/>
  <c r="G48" i="164"/>
  <c r="D50" i="164" l="1"/>
  <c r="F51" i="164" s="1"/>
  <c r="G49" i="164"/>
  <c r="D51" i="164" l="1"/>
  <c r="F52" i="164" s="1"/>
  <c r="G50" i="164"/>
  <c r="D52" i="164" l="1"/>
  <c r="G51" i="164"/>
  <c r="G52" i="164" l="1"/>
  <c r="F54" i="164" l="1"/>
  <c r="G54" i="164" l="1"/>
  <c r="F17" i="164" s="1"/>
  <c r="D54" i="164"/>
  <c r="H17" i="164" l="1"/>
  <c r="G17" i="164"/>
</calcChain>
</file>

<file path=xl/sharedStrings.xml><?xml version="1.0" encoding="utf-8"?>
<sst xmlns="http://schemas.openxmlformats.org/spreadsheetml/2006/main" count="51" uniqueCount="46">
  <si>
    <t>Щомісячний платіж</t>
  </si>
  <si>
    <t>Всього</t>
  </si>
  <si>
    <t>Місяць</t>
  </si>
  <si>
    <t>Термін кредитування (міс)</t>
  </si>
  <si>
    <t>Відсоткова ставка річна (%)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</si>
  <si>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</si>
  <si>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</si>
  <si>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</si>
  <si>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</si>
  <si>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</si>
  <si>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</si>
  <si>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</si>
  <si>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</si>
  <si>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</si>
  <si>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</si>
  <si>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</si>
  <si>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</si>
  <si>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</si>
  <si>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</si>
  <si>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Щомісячна плата за обслуговування кредиту (%)</t>
  </si>
  <si>
    <t>Розмір щомісячної плати за обслуговування кредиту, грн.</t>
  </si>
  <si>
    <t>Одноразова комісія за РКО + Cтрахування (%)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</si>
  <si>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</si>
  <si>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</si>
  <si>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</si>
  <si>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</si>
  <si>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</si>
  <si>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</si>
  <si>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</si>
  <si>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</si>
  <si>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</si>
  <si>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</si>
  <si>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</si>
  <si>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</si>
  <si>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24 місяців</t>
  </si>
  <si>
    <t>18 місяців</t>
  </si>
  <si>
    <t>Початкова комісія</t>
  </si>
  <si>
    <t>Крок</t>
  </si>
  <si>
    <t>Орієнтовний платіж</t>
  </si>
  <si>
    <t>Орієнтовна переплата за весь період у грн.</t>
  </si>
  <si>
    <t>Орієнтовна переплата за весь період у відсотках</t>
  </si>
  <si>
    <t xml:space="preserve">ОРІЄНТОВНИЙ ГРАФІК СПЛАТИ КРЕДИТУ </t>
  </si>
  <si>
    <t>Кредит на бізнес ФОП., 24 міс.</t>
  </si>
  <si>
    <t xml:space="preserve">Одноразова комісія за видачу кредиту,% </t>
  </si>
  <si>
    <t xml:space="preserve">Сума комісії за видачу кредиту </t>
  </si>
  <si>
    <t>Сума платежу,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</si>
</sst>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10"/>
      <color theme="1"/>
      <name val="Arial"/>
      <family val="2"/>
      <charset val="204"/>
    </font>
    <font>
      <b/>
      <sz val="14"/>
      <name val="Arial Cyr"/>
      <charset val="204"/>
    </font>
    <font>
      <b/>
      <sz val="8"/>
      <color theme="1"/>
      <name val="Arial"/>
      <family val="2"/>
      <charset val="204"/>
    </font>
    <font>
      <b/>
      <sz val="8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</cellStyleXfs>
  <cellXfs count="234">
    <xf numFmtId="0" fontId="0" fillId="0" borderId="0" xfId="0"/>
    <xf numFmtId="0" fontId="9" fillId="3" borderId="0" xfId="23" applyFont="1" applyFill="1" applyProtection="1"/>
    <xf numFmtId="0" fontId="5" fillId="3" borderId="0" xfId="23" applyFill="1" applyProtection="1"/>
    <xf numFmtId="0" fontId="0" fillId="3" borderId="0" xfId="0" applyFill="1" applyProtection="1"/>
    <xf numFmtId="0" fontId="5" fillId="0" borderId="0" xfId="23" applyProtection="1"/>
    <xf numFmtId="0" fontId="5" fillId="0" borderId="0" xfId="23" applyFill="1" applyProtection="1"/>
    <xf numFmtId="0" fontId="9" fillId="3" borderId="0" xfId="23" applyFont="1" applyFill="1" applyBorder="1" applyProtection="1"/>
    <xf numFmtId="0" fontId="8" fillId="3" borderId="0" xfId="0" applyFont="1" applyFill="1" applyBorder="1" applyAlignment="1" applyProtection="1"/>
    <xf numFmtId="1" fontId="5" fillId="3" borderId="0" xfId="23" applyNumberFormat="1" applyFill="1" applyAlignment="1" applyProtection="1">
      <alignment vertical="top" wrapText="1"/>
    </xf>
    <xf numFmtId="0" fontId="5" fillId="0" borderId="0" xfId="23" applyFont="1" applyFill="1" applyProtection="1"/>
    <xf numFmtId="10" fontId="4" fillId="0" borderId="1" xfId="23" applyNumberFormat="1" applyFont="1" applyFill="1" applyBorder="1" applyAlignment="1" applyProtection="1">
      <alignment horizontal="center"/>
    </xf>
    <xf numFmtId="10" fontId="17" fillId="0" borderId="1" xfId="23" applyNumberFormat="1" applyFont="1" applyFill="1" applyBorder="1" applyAlignment="1" applyProtection="1">
      <alignment horizontal="center"/>
    </xf>
    <xf numFmtId="10" fontId="4" fillId="3" borderId="0" xfId="23" applyNumberFormat="1" applyFont="1" applyFill="1" applyAlignment="1" applyProtection="1">
      <alignment horizontal="center"/>
    </xf>
    <xf numFmtId="0" fontId="11" fillId="3" borderId="0" xfId="0" applyFont="1" applyFill="1" applyBorder="1" applyAlignment="1" applyProtection="1"/>
    <xf numFmtId="0" fontId="9" fillId="0" borderId="0" xfId="23" applyFont="1" applyFill="1" applyProtection="1"/>
    <xf numFmtId="169" fontId="4" fillId="0" borderId="1" xfId="23" applyNumberFormat="1" applyFont="1" applyFill="1" applyBorder="1" applyAlignment="1" applyProtection="1">
      <alignment horizontal="center"/>
    </xf>
    <xf numFmtId="169" fontId="17" fillId="0" borderId="1" xfId="23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left"/>
    </xf>
    <xf numFmtId="169" fontId="4" fillId="3" borderId="0" xfId="23" applyNumberFormat="1" applyFont="1" applyFill="1" applyBorder="1" applyAlignment="1" applyProtection="1">
      <alignment horizontal="center"/>
    </xf>
    <xf numFmtId="0" fontId="20" fillId="3" borderId="0" xfId="23" applyFont="1" applyFill="1" applyProtection="1"/>
    <xf numFmtId="0" fontId="19" fillId="3" borderId="0" xfId="23" applyFont="1" applyFill="1" applyBorder="1" applyAlignment="1" applyProtection="1">
      <alignment horizontal="center"/>
    </xf>
    <xf numFmtId="166" fontId="4" fillId="0" borderId="1" xfId="23" applyNumberFormat="1" applyFont="1" applyFill="1" applyBorder="1" applyAlignment="1" applyProtection="1">
      <alignment horizontal="center"/>
    </xf>
    <xf numFmtId="10" fontId="4" fillId="3" borderId="0" xfId="23" applyNumberFormat="1" applyFont="1" applyFill="1" applyBorder="1" applyAlignment="1" applyProtection="1">
      <alignment horizontal="center"/>
    </xf>
    <xf numFmtId="10" fontId="17" fillId="2" borderId="1" xfId="23" applyNumberFormat="1" applyFont="1" applyFill="1" applyBorder="1" applyAlignment="1" applyProtection="1">
      <alignment horizontal="center" vertical="center" wrapText="1"/>
    </xf>
    <xf numFmtId="170" fontId="21" fillId="0" borderId="1" xfId="23" applyNumberFormat="1" applyFont="1" applyFill="1" applyBorder="1" applyAlignment="1" applyProtection="1">
      <alignment horizontal="center"/>
    </xf>
    <xf numFmtId="169" fontId="21" fillId="0" borderId="1" xfId="23" applyNumberFormat="1" applyFont="1" applyFill="1" applyBorder="1" applyAlignment="1" applyProtection="1">
      <alignment horizontal="center"/>
    </xf>
    <xf numFmtId="169" fontId="21" fillId="3" borderId="1" xfId="23" applyNumberFormat="1" applyFont="1" applyFill="1" applyBorder="1" applyAlignment="1" applyProtection="1">
      <alignment horizontal="center"/>
    </xf>
    <xf numFmtId="165" fontId="5" fillId="3" borderId="0" xfId="23" applyNumberFormat="1" applyFont="1" applyFill="1" applyProtection="1"/>
    <xf numFmtId="0" fontId="5" fillId="3" borderId="0" xfId="23" applyFont="1" applyFill="1" applyBorder="1" applyProtection="1"/>
    <xf numFmtId="0" fontId="5" fillId="3" borderId="0" xfId="23" applyFont="1" applyFill="1" applyProtection="1"/>
    <xf numFmtId="0" fontId="12" fillId="3" borderId="0" xfId="0" applyFont="1" applyFill="1" applyBorder="1" applyAlignment="1" applyProtection="1"/>
    <xf numFmtId="165" fontId="13" fillId="3" borderId="0" xfId="23" applyNumberFormat="1" applyFont="1" applyFill="1" applyProtection="1"/>
    <xf numFmtId="0" fontId="13" fillId="3" borderId="0" xfId="23" applyFont="1" applyFill="1" applyBorder="1" applyProtection="1"/>
    <xf numFmtId="2" fontId="5" fillId="0" borderId="1" xfId="23" applyNumberFormat="1" applyBorder="1" applyProtection="1"/>
    <xf numFmtId="167" fontId="5" fillId="0" borderId="1" xfId="23" applyNumberFormat="1" applyBorder="1" applyProtection="1"/>
    <xf numFmtId="0" fontId="7" fillId="3" borderId="0" xfId="23" applyFont="1" applyFill="1" applyAlignment="1" applyProtection="1">
      <alignment horizontal="right"/>
    </xf>
    <xf numFmtId="10" fontId="7" fillId="3" borderId="0" xfId="23" applyNumberFormat="1" applyFont="1" applyFill="1" applyProtection="1"/>
    <xf numFmtId="0" fontId="4" fillId="3" borderId="0" xfId="23" applyFont="1" applyFill="1" applyAlignment="1" applyProtection="1">
      <alignment horizontal="right"/>
    </xf>
    <xf numFmtId="9" fontId="4" fillId="3" borderId="0" xfId="23" applyNumberFormat="1" applyFont="1" applyFill="1" applyAlignment="1" applyProtection="1">
      <alignment horizontal="left"/>
    </xf>
    <xf numFmtId="9" fontId="5" fillId="3" borderId="0" xfId="23" applyNumberFormat="1" applyFill="1" applyAlignment="1" applyProtection="1">
      <alignment horizontal="left"/>
    </xf>
    <xf numFmtId="0" fontId="0" fillId="0" borderId="0" xfId="0" applyProtection="1"/>
    <xf numFmtId="10" fontId="4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4" fillId="0" borderId="0" xfId="23" applyNumberFormat="1" applyFont="1" applyFill="1" applyAlignment="1" applyProtection="1">
      <alignment horizontal="left"/>
    </xf>
    <xf numFmtId="9" fontId="5" fillId="0" borderId="0" xfId="23" applyNumberFormat="1" applyFill="1" applyAlignment="1" applyProtection="1">
      <alignment horizontal="left"/>
    </xf>
    <xf numFmtId="0" fontId="5" fillId="0" borderId="0" xfId="23" applyFont="1" applyProtection="1"/>
    <xf numFmtId="0" fontId="17" fillId="3" borderId="0" xfId="23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7" fillId="3" borderId="0" xfId="23" applyFont="1" applyFill="1" applyAlignment="1" applyProtection="1">
      <alignment horizontal="center"/>
    </xf>
    <xf numFmtId="10" fontId="4" fillId="3" borderId="0" xfId="46" applyNumberFormat="1" applyFont="1" applyFill="1" applyAlignment="1" applyProtection="1">
      <alignment horizontal="center" vertical="top" wrapText="1"/>
    </xf>
    <xf numFmtId="169" fontId="5" fillId="0" borderId="3" xfId="23" applyNumberFormat="1" applyFont="1" applyFill="1" applyBorder="1" applyAlignment="1" applyProtection="1">
      <alignment horizontal="center"/>
    </xf>
    <xf numFmtId="169" fontId="5" fillId="0" borderId="4" xfId="23" applyNumberFormat="1" applyFont="1" applyFill="1" applyBorder="1" applyAlignment="1" applyProtection="1">
      <alignment horizontal="center"/>
    </xf>
    <xf numFmtId="9" fontId="17" fillId="3" borderId="0" xfId="23" applyNumberFormat="1" applyFont="1" applyFill="1" applyAlignment="1" applyProtection="1">
      <alignment horizontal="center"/>
    </xf>
    <xf numFmtId="0" fontId="17" fillId="0" borderId="0" xfId="23" applyFont="1" applyAlignment="1" applyProtection="1">
      <alignment horizontal="center"/>
    </xf>
    <xf numFmtId="0" fontId="23" fillId="3" borderId="0" xfId="0" applyFont="1" applyFill="1" applyProtection="1"/>
    <xf numFmtId="0" fontId="26" fillId="0" borderId="0" xfId="23" applyFont="1" applyFill="1" applyProtection="1"/>
    <xf numFmtId="0" fontId="27" fillId="3" borderId="0" xfId="23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9" fillId="4" borderId="0" xfId="23" applyFont="1" applyFill="1" applyProtection="1"/>
    <xf numFmtId="0" fontId="5" fillId="4" borderId="0" xfId="23" applyFill="1" applyProtection="1"/>
    <xf numFmtId="0" fontId="4" fillId="4" borderId="0" xfId="23" applyFont="1" applyFill="1" applyProtection="1"/>
    <xf numFmtId="0" fontId="0" fillId="4" borderId="0" xfId="0" applyFill="1" applyProtection="1"/>
    <xf numFmtId="173" fontId="4" fillId="3" borderId="1" xfId="47" applyNumberFormat="1" applyFont="1" applyFill="1" applyBorder="1" applyAlignment="1" applyProtection="1">
      <alignment horizontal="center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wrapText="1"/>
    </xf>
    <xf numFmtId="166" fontId="5" fillId="0" borderId="3" xfId="24" applyNumberFormat="1" applyFont="1" applyFill="1" applyBorder="1" applyAlignment="1" applyProtection="1">
      <alignment horizontal="center"/>
    </xf>
    <xf numFmtId="166" fontId="5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4" fillId="0" borderId="1" xfId="23" applyNumberFormat="1" applyFont="1" applyFill="1" applyBorder="1" applyAlignment="1" applyProtection="1">
      <alignment horizontal="center"/>
    </xf>
    <xf numFmtId="171" fontId="17" fillId="0" borderId="1" xfId="23" applyNumberFormat="1" applyFont="1" applyFill="1" applyBorder="1" applyAlignment="1" applyProtection="1">
      <alignment horizontal="center"/>
    </xf>
    <xf numFmtId="1" fontId="16" fillId="0" borderId="6" xfId="23" applyNumberFormat="1" applyFont="1" applyFill="1" applyBorder="1" applyAlignment="1" applyProtection="1">
      <alignment horizontal="center" vertical="top" wrapText="1"/>
      <protection locked="0"/>
    </xf>
    <xf numFmtId="1" fontId="4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8" fillId="0" borderId="0" xfId="0" applyFont="1" applyFill="1" applyBorder="1" applyAlignment="1" applyProtection="1"/>
    <xf numFmtId="1" fontId="5" fillId="0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0" fontId="17" fillId="0" borderId="0" xfId="23" applyFont="1" applyFill="1" applyAlignment="1" applyProtection="1">
      <alignment horizontal="center"/>
    </xf>
    <xf numFmtId="0" fontId="8" fillId="0" borderId="2" xfId="0" applyFont="1" applyFill="1" applyBorder="1" applyAlignment="1" applyProtection="1">
      <alignment horizontal="left"/>
    </xf>
    <xf numFmtId="10" fontId="4" fillId="0" borderId="0" xfId="23" applyNumberFormat="1" applyFont="1" applyFill="1" applyAlignment="1" applyProtection="1">
      <alignment horizontal="center"/>
    </xf>
    <xf numFmtId="10" fontId="4" fillId="0" borderId="0" xfId="46" applyNumberFormat="1" applyFont="1" applyFill="1" applyAlignment="1" applyProtection="1">
      <alignment horizontal="center" vertical="top" wrapText="1"/>
    </xf>
    <xf numFmtId="173" fontId="4" fillId="0" borderId="1" xfId="47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8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4" fillId="0" borderId="0" xfId="23" applyNumberFormat="1" applyFont="1" applyFill="1" applyBorder="1" applyAlignment="1" applyProtection="1">
      <alignment horizontal="center"/>
    </xf>
    <xf numFmtId="0" fontId="20" fillId="0" borderId="0" xfId="23" applyFont="1" applyFill="1" applyProtection="1"/>
    <xf numFmtId="0" fontId="19" fillId="0" borderId="0" xfId="23" applyFont="1" applyFill="1" applyBorder="1" applyAlignment="1" applyProtection="1">
      <alignment horizontal="center"/>
    </xf>
    <xf numFmtId="169" fontId="4" fillId="0" borderId="2" xfId="23" applyNumberFormat="1" applyFont="1" applyFill="1" applyBorder="1" applyProtection="1"/>
    <xf numFmtId="10" fontId="4" fillId="0" borderId="0" xfId="23" applyNumberFormat="1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10" fontId="17" fillId="0" borderId="1" xfId="23" applyNumberFormat="1" applyFont="1" applyFill="1" applyBorder="1" applyAlignment="1" applyProtection="1">
      <alignment horizontal="center" vertical="center" wrapText="1"/>
    </xf>
    <xf numFmtId="165" fontId="5" fillId="0" borderId="0" xfId="23" applyNumberFormat="1" applyFont="1" applyFill="1" applyProtection="1"/>
    <xf numFmtId="0" fontId="5" fillId="0" borderId="0" xfId="23" applyFont="1" applyFill="1" applyBorder="1" applyProtection="1"/>
    <xf numFmtId="0" fontId="17" fillId="0" borderId="0" xfId="23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165" fontId="13" fillId="0" borderId="0" xfId="23" applyNumberFormat="1" applyFont="1" applyFill="1" applyProtection="1"/>
    <xf numFmtId="0" fontId="13" fillId="0" borderId="0" xfId="23" applyFont="1" applyFill="1" applyBorder="1" applyProtection="1"/>
    <xf numFmtId="165" fontId="17" fillId="0" borderId="7" xfId="23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Alignment="1" applyProtection="1">
      <alignment horizontal="right"/>
    </xf>
    <xf numFmtId="10" fontId="7" fillId="0" borderId="0" xfId="23" applyNumberFormat="1" applyFont="1" applyFill="1" applyProtection="1"/>
    <xf numFmtId="0" fontId="4" fillId="0" borderId="0" xfId="23" applyFont="1" applyFill="1" applyAlignment="1" applyProtection="1">
      <alignment horizontal="right"/>
    </xf>
    <xf numFmtId="9" fontId="17" fillId="0" borderId="0" xfId="23" applyNumberFormat="1" applyFont="1" applyFill="1" applyAlignment="1" applyProtection="1">
      <alignment horizontal="center"/>
    </xf>
    <xf numFmtId="10" fontId="29" fillId="3" borderId="0" xfId="23" applyNumberFormat="1" applyFont="1" applyFill="1" applyAlignment="1" applyProtection="1">
      <alignment horizontal="center"/>
    </xf>
    <xf numFmtId="0" fontId="5" fillId="3" borderId="9" xfId="23" applyFill="1" applyBorder="1" applyProtection="1"/>
    <xf numFmtId="4" fontId="5" fillId="3" borderId="10" xfId="23" applyNumberFormat="1" applyFill="1" applyBorder="1" applyProtection="1"/>
    <xf numFmtId="168" fontId="10" fillId="2" borderId="11" xfId="23" applyNumberFormat="1" applyFont="1" applyFill="1" applyBorder="1" applyAlignment="1" applyProtection="1">
      <alignment horizontal="right" vertical="center"/>
    </xf>
    <xf numFmtId="0" fontId="31" fillId="3" borderId="0" xfId="0" applyFont="1" applyFill="1" applyBorder="1" applyAlignment="1" applyProtection="1"/>
    <xf numFmtId="1" fontId="16" fillId="7" borderId="6" xfId="23" applyNumberFormat="1" applyFont="1" applyFill="1" applyBorder="1" applyAlignment="1" applyProtection="1">
      <alignment horizontal="center" vertical="top" wrapText="1"/>
      <protection locked="0"/>
    </xf>
    <xf numFmtId="165" fontId="17" fillId="5" borderId="7" xfId="23" applyNumberFormat="1" applyFont="1" applyFill="1" applyBorder="1" applyAlignment="1" applyProtection="1">
      <alignment horizontal="center" vertical="center" wrapText="1"/>
    </xf>
    <xf numFmtId="0" fontId="32" fillId="3" borderId="0" xfId="23" applyFont="1" applyFill="1" applyProtection="1"/>
    <xf numFmtId="2" fontId="4" fillId="0" borderId="1" xfId="23" applyNumberFormat="1" applyFont="1" applyFill="1" applyBorder="1" applyAlignment="1" applyProtection="1">
      <alignment horizontal="center"/>
    </xf>
    <xf numFmtId="0" fontId="5" fillId="8" borderId="0" xfId="23" applyFill="1" applyProtection="1"/>
    <xf numFmtId="0" fontId="5" fillId="8" borderId="0" xfId="23" applyFont="1" applyFill="1" applyProtection="1"/>
    <xf numFmtId="0" fontId="9" fillId="8" borderId="0" xfId="23" applyFont="1" applyFill="1" applyProtection="1"/>
    <xf numFmtId="0" fontId="5" fillId="4" borderId="0" xfId="23" applyFont="1" applyFill="1" applyProtection="1"/>
    <xf numFmtId="0" fontId="30" fillId="0" borderId="0" xfId="23" applyFont="1" applyFill="1" applyProtection="1"/>
    <xf numFmtId="168" fontId="10" fillId="2" borderId="12" xfId="23" applyNumberFormat="1" applyFont="1" applyFill="1" applyBorder="1" applyAlignment="1" applyProtection="1">
      <alignment horizontal="right" vertical="center"/>
    </xf>
    <xf numFmtId="0" fontId="5" fillId="0" borderId="27" xfId="23" applyBorder="1" applyAlignment="1" applyProtection="1">
      <alignment horizontal="center"/>
    </xf>
    <xf numFmtId="0" fontId="5" fillId="0" borderId="23" xfId="23" applyBorder="1" applyAlignment="1" applyProtection="1">
      <alignment horizontal="center"/>
    </xf>
    <xf numFmtId="0" fontId="34" fillId="3" borderId="0" xfId="0" applyFont="1" applyFill="1" applyBorder="1" applyAlignment="1" applyProtection="1"/>
    <xf numFmtId="14" fontId="9" fillId="3" borderId="0" xfId="23" applyNumberFormat="1" applyFont="1" applyFill="1" applyProtection="1"/>
    <xf numFmtId="14" fontId="5" fillId="0" borderId="1" xfId="23" applyNumberFormat="1" applyBorder="1" applyAlignment="1" applyProtection="1">
      <alignment horizontal="center"/>
    </xf>
    <xf numFmtId="0" fontId="35" fillId="4" borderId="0" xfId="0" applyFont="1" applyFill="1" applyProtection="1"/>
    <xf numFmtId="0" fontId="17" fillId="4" borderId="0" xfId="23" applyFont="1" applyFill="1" applyAlignment="1" applyProtection="1">
      <alignment horizontal="center"/>
    </xf>
    <xf numFmtId="14" fontId="5" fillId="0" borderId="15" xfId="23" applyNumberFormat="1" applyBorder="1" applyAlignment="1" applyProtection="1">
      <alignment horizontal="center"/>
    </xf>
    <xf numFmtId="2" fontId="5" fillId="0" borderId="15" xfId="23" applyNumberFormat="1" applyBorder="1" applyProtection="1"/>
    <xf numFmtId="167" fontId="5" fillId="0" borderId="15" xfId="23" applyNumberFormat="1" applyBorder="1" applyProtection="1"/>
    <xf numFmtId="0" fontId="30" fillId="4" borderId="0" xfId="23" applyFont="1" applyFill="1" applyProtection="1"/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9" borderId="0" xfId="0" applyFill="1" applyProtection="1">
      <protection hidden="1"/>
    </xf>
    <xf numFmtId="10" fontId="0" fillId="9" borderId="0" xfId="24" applyNumberFormat="1" applyFont="1" applyFill="1" applyProtection="1">
      <protection hidden="1"/>
    </xf>
    <xf numFmtId="4" fontId="3" fillId="9" borderId="0" xfId="2" applyNumberFormat="1" applyFont="1" applyFill="1" applyBorder="1" applyAlignment="1" applyProtection="1">
      <alignment horizontal="center"/>
      <protection hidden="1"/>
    </xf>
    <xf numFmtId="175" fontId="3" fillId="9" borderId="1" xfId="24" applyNumberFormat="1" applyFont="1" applyFill="1" applyBorder="1" applyAlignment="1" applyProtection="1">
      <alignment horizontal="right"/>
      <protection hidden="1"/>
    </xf>
    <xf numFmtId="174" fontId="3" fillId="9" borderId="1" xfId="49" applyNumberFormat="1" applyFont="1" applyFill="1" applyBorder="1" applyAlignment="1">
      <alignment horizontal="center"/>
    </xf>
    <xf numFmtId="0" fontId="25" fillId="4" borderId="0" xfId="23" applyFont="1" applyFill="1" applyProtection="1"/>
    <xf numFmtId="0" fontId="0" fillId="10" borderId="0" xfId="0" applyFill="1" applyProtection="1">
      <protection hidden="1"/>
    </xf>
    <xf numFmtId="10" fontId="0" fillId="10" borderId="0" xfId="24" applyNumberFormat="1" applyFont="1" applyFill="1" applyProtection="1">
      <protection hidden="1"/>
    </xf>
    <xf numFmtId="4" fontId="3" fillId="10" borderId="0" xfId="2" applyNumberFormat="1" applyFont="1" applyFill="1" applyBorder="1" applyAlignment="1" applyProtection="1">
      <alignment horizontal="center"/>
      <protection hidden="1"/>
    </xf>
    <xf numFmtId="174" fontId="3" fillId="10" borderId="1" xfId="49" applyNumberFormat="1" applyFont="1" applyFill="1" applyBorder="1" applyAlignment="1">
      <alignment horizontal="center"/>
    </xf>
    <xf numFmtId="175" fontId="3" fillId="10" borderId="1" xfId="24" applyNumberFormat="1" applyFont="1" applyFill="1" applyBorder="1" applyAlignment="1" applyProtection="1">
      <alignment horizontal="right"/>
      <protection hidden="1"/>
    </xf>
    <xf numFmtId="174" fontId="3" fillId="10" borderId="0" xfId="24" applyNumberFormat="1" applyFont="1" applyFill="1" applyBorder="1" applyAlignment="1" applyProtection="1">
      <alignment horizontal="center" vertical="center" wrapText="1"/>
      <protection hidden="1"/>
    </xf>
    <xf numFmtId="0" fontId="0" fillId="11" borderId="0" xfId="0" applyFill="1" applyProtection="1">
      <protection hidden="1"/>
    </xf>
    <xf numFmtId="10" fontId="0" fillId="11" borderId="0" xfId="24" applyNumberFormat="1" applyFont="1" applyFill="1" applyProtection="1">
      <protection hidden="1"/>
    </xf>
    <xf numFmtId="4" fontId="3" fillId="11" borderId="0" xfId="2" applyNumberFormat="1" applyFont="1" applyFill="1" applyBorder="1" applyAlignment="1" applyProtection="1">
      <alignment horizontal="center"/>
      <protection hidden="1"/>
    </xf>
    <xf numFmtId="174" fontId="3" fillId="11" borderId="1" xfId="49" applyNumberFormat="1" applyFont="1" applyFill="1" applyBorder="1" applyAlignment="1">
      <alignment horizontal="center"/>
    </xf>
    <xf numFmtId="175" fontId="3" fillId="11" borderId="1" xfId="24" applyNumberFormat="1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10" fontId="0" fillId="7" borderId="0" xfId="24" applyNumberFormat="1" applyFont="1" applyFill="1" applyProtection="1">
      <protection hidden="1"/>
    </xf>
    <xf numFmtId="4" fontId="3" fillId="7" borderId="0" xfId="2" applyNumberFormat="1" applyFont="1" applyFill="1" applyBorder="1" applyAlignment="1" applyProtection="1">
      <alignment horizontal="center"/>
      <protection hidden="1"/>
    </xf>
    <xf numFmtId="174" fontId="3" fillId="7" borderId="1" xfId="49" applyNumberFormat="1" applyFont="1" applyFill="1" applyBorder="1" applyAlignment="1">
      <alignment horizontal="center"/>
    </xf>
    <xf numFmtId="175" fontId="3" fillId="7" borderId="1" xfId="24" applyNumberFormat="1" applyFont="1" applyFill="1" applyBorder="1" applyAlignment="1" applyProtection="1">
      <alignment horizontal="right"/>
      <protection hidden="1"/>
    </xf>
    <xf numFmtId="14" fontId="17" fillId="3" borderId="5" xfId="23" applyNumberFormat="1" applyFont="1" applyFill="1" applyBorder="1" applyAlignment="1" applyProtection="1">
      <alignment horizontal="center"/>
    </xf>
    <xf numFmtId="0" fontId="36" fillId="4" borderId="0" xfId="23" applyFont="1" applyFill="1" applyProtection="1"/>
    <xf numFmtId="0" fontId="37" fillId="10" borderId="0" xfId="0" applyFont="1" applyFill="1" applyProtection="1">
      <protection hidden="1"/>
    </xf>
    <xf numFmtId="0" fontId="36" fillId="3" borderId="9" xfId="23" applyFont="1" applyFill="1" applyBorder="1" applyProtection="1"/>
    <xf numFmtId="0" fontId="36" fillId="3" borderId="8" xfId="23" applyFont="1" applyFill="1" applyBorder="1" applyProtection="1"/>
    <xf numFmtId="4" fontId="27" fillId="4" borderId="0" xfId="23" applyNumberFormat="1" applyFont="1" applyFill="1" applyAlignment="1" applyProtection="1">
      <alignment vertical="top" wrapText="1"/>
    </xf>
    <xf numFmtId="2" fontId="39" fillId="3" borderId="6" xfId="0" applyNumberFormat="1" applyFont="1" applyFill="1" applyBorder="1" applyAlignment="1" applyProtection="1">
      <alignment horizontal="center"/>
    </xf>
    <xf numFmtId="0" fontId="39" fillId="5" borderId="31" xfId="0" applyFont="1" applyFill="1" applyBorder="1" applyAlignment="1" applyProtection="1">
      <alignment horizontal="center" wrapText="1"/>
    </xf>
    <xf numFmtId="0" fontId="30" fillId="4" borderId="0" xfId="23" applyFont="1" applyFill="1" applyAlignment="1" applyProtection="1">
      <alignment horizontal="right"/>
    </xf>
    <xf numFmtId="165" fontId="27" fillId="4" borderId="0" xfId="23" applyNumberFormat="1" applyFont="1" applyFill="1" applyProtection="1"/>
    <xf numFmtId="0" fontId="0" fillId="5" borderId="6" xfId="0" applyFill="1" applyBorder="1" applyAlignment="1" applyProtection="1"/>
    <xf numFmtId="1" fontId="4" fillId="6" borderId="24" xfId="23" applyNumberFormat="1" applyFont="1" applyFill="1" applyBorder="1" applyAlignment="1" applyProtection="1">
      <alignment horizontal="center" vertical="center"/>
    </xf>
    <xf numFmtId="10" fontId="17" fillId="0" borderId="14" xfId="23" applyNumberFormat="1" applyFont="1" applyFill="1" applyBorder="1" applyAlignment="1" applyProtection="1">
      <alignment horizontal="center"/>
    </xf>
    <xf numFmtId="169" fontId="4" fillId="0" borderId="14" xfId="23" applyNumberFormat="1" applyFont="1" applyFill="1" applyBorder="1" applyAlignment="1" applyProtection="1">
      <alignment horizontal="center"/>
    </xf>
    <xf numFmtId="1" fontId="4" fillId="3" borderId="0" xfId="23" applyNumberFormat="1" applyFont="1" applyFill="1" applyBorder="1" applyAlignment="1" applyProtection="1">
      <alignment horizontal="center" vertical="center"/>
    </xf>
    <xf numFmtId="1" fontId="29" fillId="4" borderId="0" xfId="23" applyNumberFormat="1" applyFont="1" applyFill="1" applyBorder="1" applyAlignment="1" applyProtection="1">
      <alignment horizontal="center" vertical="center"/>
    </xf>
    <xf numFmtId="0" fontId="28" fillId="4" borderId="0" xfId="23" applyFont="1" applyFill="1" applyBorder="1" applyAlignment="1" applyProtection="1">
      <alignment horizontal="center"/>
    </xf>
    <xf numFmtId="10" fontId="29" fillId="4" borderId="0" xfId="23" applyNumberFormat="1" applyFont="1" applyFill="1" applyBorder="1" applyAlignment="1" applyProtection="1">
      <alignment horizontal="center"/>
    </xf>
    <xf numFmtId="10" fontId="28" fillId="4" borderId="0" xfId="23" applyNumberFormat="1" applyFont="1" applyFill="1" applyBorder="1" applyAlignment="1" applyProtection="1">
      <alignment horizontal="center"/>
    </xf>
    <xf numFmtId="169" fontId="28" fillId="4" borderId="0" xfId="23" applyNumberFormat="1" applyFont="1" applyFill="1" applyBorder="1" applyAlignment="1" applyProtection="1">
      <alignment horizontal="center"/>
    </xf>
    <xf numFmtId="176" fontId="9" fillId="4" borderId="0" xfId="23" applyNumberFormat="1" applyFont="1" applyFill="1" applyProtection="1"/>
    <xf numFmtId="0" fontId="8" fillId="2" borderId="14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left"/>
    </xf>
    <xf numFmtId="0" fontId="24" fillId="2" borderId="14" xfId="0" applyFont="1" applyFill="1" applyBorder="1" applyAlignment="1" applyProtection="1">
      <alignment horizontal="center" vertical="center" wrapText="1"/>
    </xf>
    <xf numFmtId="0" fontId="24" fillId="2" borderId="4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4" fontId="17" fillId="0" borderId="14" xfId="23" applyNumberFormat="1" applyFont="1" applyBorder="1" applyAlignment="1" applyProtection="1">
      <alignment horizontal="center"/>
    </xf>
    <xf numFmtId="4" fontId="17" fillId="0" borderId="18" xfId="23" applyNumberFormat="1" applyFont="1" applyBorder="1" applyAlignment="1" applyProtection="1">
      <alignment horizontal="center"/>
    </xf>
    <xf numFmtId="4" fontId="17" fillId="0" borderId="15" xfId="23" applyNumberFormat="1" applyFont="1" applyBorder="1" applyAlignment="1" applyProtection="1">
      <alignment horizontal="center"/>
    </xf>
    <xf numFmtId="4" fontId="17" fillId="0" borderId="30" xfId="23" applyNumberFormat="1" applyFont="1" applyBorder="1" applyAlignment="1" applyProtection="1">
      <alignment horizontal="center"/>
    </xf>
    <xf numFmtId="0" fontId="14" fillId="5" borderId="24" xfId="0" applyFont="1" applyFill="1" applyBorder="1" applyAlignment="1" applyProtection="1">
      <alignment horizontal="center" vertical="center"/>
    </xf>
    <xf numFmtId="0" fontId="14" fillId="5" borderId="25" xfId="0" applyFont="1" applyFill="1" applyBorder="1" applyAlignment="1" applyProtection="1">
      <alignment horizontal="center" vertical="center"/>
    </xf>
    <xf numFmtId="0" fontId="14" fillId="5" borderId="26" xfId="0" applyFont="1" applyFill="1" applyBorder="1" applyAlignment="1" applyProtection="1">
      <alignment horizontal="center" vertical="center"/>
    </xf>
    <xf numFmtId="165" fontId="17" fillId="5" borderId="24" xfId="23" applyNumberFormat="1" applyFont="1" applyFill="1" applyBorder="1" applyAlignment="1" applyProtection="1">
      <alignment horizontal="center" vertical="center" wrapText="1"/>
    </xf>
    <xf numFmtId="165" fontId="17" fillId="5" borderId="26" xfId="23" applyNumberFormat="1" applyFont="1" applyFill="1" applyBorder="1" applyAlignment="1" applyProtection="1">
      <alignment horizontal="center" vertical="center" wrapText="1"/>
    </xf>
    <xf numFmtId="165" fontId="17" fillId="5" borderId="25" xfId="23" applyNumberFormat="1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horizontal="center" vertical="center"/>
    </xf>
    <xf numFmtId="0" fontId="15" fillId="5" borderId="25" xfId="0" applyFont="1" applyFill="1" applyBorder="1" applyAlignment="1" applyProtection="1">
      <alignment horizontal="center" vertical="center"/>
    </xf>
    <xf numFmtId="0" fontId="15" fillId="5" borderId="26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left"/>
    </xf>
    <xf numFmtId="0" fontId="17" fillId="5" borderId="8" xfId="23" applyFont="1" applyFill="1" applyBorder="1" applyAlignment="1" applyProtection="1">
      <alignment horizontal="center" vertical="center"/>
      <protection locked="0"/>
    </xf>
    <xf numFmtId="0" fontId="17" fillId="5" borderId="20" xfId="23" applyFont="1" applyFill="1" applyBorder="1" applyAlignment="1" applyProtection="1">
      <alignment horizontal="center" vertical="center"/>
      <protection locked="0"/>
    </xf>
    <xf numFmtId="10" fontId="33" fillId="4" borderId="0" xfId="23" applyNumberFormat="1" applyFont="1" applyFill="1" applyAlignment="1" applyProtection="1">
      <alignment horizontal="center" vertical="center" wrapText="1"/>
    </xf>
    <xf numFmtId="10" fontId="33" fillId="4" borderId="5" xfId="23" applyNumberFormat="1" applyFont="1" applyFill="1" applyBorder="1" applyAlignment="1" applyProtection="1">
      <alignment horizontal="center" vertical="center" wrapText="1"/>
    </xf>
    <xf numFmtId="10" fontId="22" fillId="5" borderId="21" xfId="23" applyNumberFormat="1" applyFont="1" applyFill="1" applyBorder="1" applyAlignment="1" applyProtection="1">
      <alignment horizontal="center" vertical="center"/>
    </xf>
    <xf numFmtId="10" fontId="22" fillId="5" borderId="22" xfId="23" applyNumberFormat="1" applyFont="1" applyFill="1" applyBorder="1" applyAlignment="1" applyProtection="1">
      <alignment horizontal="center" vertical="center"/>
    </xf>
    <xf numFmtId="4" fontId="38" fillId="3" borderId="25" xfId="23" applyNumberFormat="1" applyFont="1" applyFill="1" applyBorder="1" applyAlignment="1" applyProtection="1">
      <alignment horizontal="center"/>
    </xf>
    <xf numFmtId="0" fontId="0" fillId="0" borderId="26" xfId="0" applyBorder="1" applyAlignment="1"/>
    <xf numFmtId="168" fontId="10" fillId="2" borderId="24" xfId="23" applyNumberFormat="1" applyFont="1" applyFill="1" applyBorder="1" applyAlignment="1" applyProtection="1">
      <alignment horizontal="right" vertical="center"/>
    </xf>
    <xf numFmtId="168" fontId="10" fillId="2" borderId="26" xfId="23" applyNumberFormat="1" applyFont="1" applyFill="1" applyBorder="1" applyAlignment="1" applyProtection="1">
      <alignment horizontal="right" vertical="center"/>
    </xf>
    <xf numFmtId="166" fontId="5" fillId="3" borderId="0" xfId="46" applyNumberFormat="1" applyFont="1" applyFill="1" applyAlignment="1" applyProtection="1">
      <alignment horizontal="left"/>
    </xf>
    <xf numFmtId="4" fontId="17" fillId="0" borderId="28" xfId="23" applyNumberFormat="1" applyFont="1" applyBorder="1" applyAlignment="1" applyProtection="1">
      <alignment horizontal="center"/>
    </xf>
    <xf numFmtId="4" fontId="17" fillId="0" borderId="19" xfId="23" applyNumberFormat="1" applyFont="1" applyBorder="1" applyAlignment="1" applyProtection="1">
      <alignment horizontal="center"/>
    </xf>
    <xf numFmtId="0" fontId="10" fillId="2" borderId="24" xfId="23" applyFont="1" applyFill="1" applyBorder="1" applyAlignment="1" applyProtection="1">
      <alignment horizontal="left" vertical="center"/>
    </xf>
    <xf numFmtId="0" fontId="10" fillId="2" borderId="29" xfId="23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left" vertical="center"/>
    </xf>
    <xf numFmtId="0" fontId="15" fillId="0" borderId="25" xfId="0" applyFont="1" applyFill="1" applyBorder="1" applyAlignment="1" applyProtection="1">
      <alignment horizontal="left" vertical="center"/>
    </xf>
    <xf numFmtId="0" fontId="15" fillId="0" borderId="26" xfId="0" applyFont="1" applyFill="1" applyBorder="1" applyAlignment="1" applyProtection="1">
      <alignment horizontal="left" vertical="center"/>
    </xf>
    <xf numFmtId="166" fontId="5" fillId="0" borderId="0" xfId="46" applyNumberFormat="1" applyFont="1" applyFill="1" applyAlignment="1" applyProtection="1">
      <alignment horizontal="left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165" fontId="17" fillId="0" borderId="24" xfId="23" applyNumberFormat="1" applyFont="1" applyFill="1" applyBorder="1" applyAlignment="1" applyProtection="1">
      <alignment horizontal="center" vertical="center" wrapText="1"/>
    </xf>
    <xf numFmtId="165" fontId="17" fillId="0" borderId="26" xfId="23" applyNumberFormat="1" applyFont="1" applyFill="1" applyBorder="1" applyAlignment="1" applyProtection="1">
      <alignment horizontal="center" vertical="center" wrapText="1"/>
    </xf>
    <xf numFmtId="165" fontId="17" fillId="0" borderId="23" xfId="23" applyNumberFormat="1" applyFont="1" applyFill="1" applyBorder="1" applyAlignment="1" applyProtection="1">
      <alignment horizontal="center" vertical="center" wrapText="1"/>
    </xf>
    <xf numFmtId="165" fontId="17" fillId="0" borderId="17" xfId="23" applyNumberFormat="1" applyFont="1" applyFill="1" applyBorder="1" applyAlignment="1" applyProtection="1">
      <alignment horizontal="center" vertical="center" wrapText="1"/>
    </xf>
    <xf numFmtId="10" fontId="28" fillId="0" borderId="14" xfId="23" applyNumberFormat="1" applyFont="1" applyFill="1" applyBorder="1" applyAlignment="1" applyProtection="1">
      <alignment horizontal="center"/>
    </xf>
    <xf numFmtId="171" fontId="28" fillId="0" borderId="14" xfId="23" applyNumberFormat="1" applyFont="1" applyFill="1" applyBorder="1" applyAlignment="1" applyProtection="1">
      <alignment horizontal="center"/>
    </xf>
  </cellXfs>
  <cellStyles count="75">
    <cellStyle name="Денежный 2" xfId="50"/>
    <cellStyle name="Обычный" xfId="0" builtinId="0"/>
    <cellStyle name="Обычный 17" xfId="1"/>
    <cellStyle name="Обычный 17 2" xfId="52"/>
    <cellStyle name="Обычный 2" xfId="2"/>
    <cellStyle name="Обычный 2 10" xfId="3"/>
    <cellStyle name="Обычный 2 10 2" xfId="53"/>
    <cellStyle name="Обычный 2 11" xfId="4"/>
    <cellStyle name="Обычный 2 11 2" xfId="54"/>
    <cellStyle name="Обычный 2 12" xfId="5"/>
    <cellStyle name="Обычный 2 12 2" xfId="55"/>
    <cellStyle name="Обычный 2 13" xfId="6"/>
    <cellStyle name="Обычный 2 13 2" xfId="56"/>
    <cellStyle name="Обычный 2 14" xfId="7"/>
    <cellStyle name="Обычный 2 14 2" xfId="57"/>
    <cellStyle name="Обычный 2 15" xfId="8"/>
    <cellStyle name="Обычный 2 15 2" xfId="58"/>
    <cellStyle name="Обычный 2 16" xfId="9"/>
    <cellStyle name="Обычный 2 16 2" xfId="59"/>
    <cellStyle name="Обычный 2 17" xfId="10"/>
    <cellStyle name="Обычный 2 17 2" xfId="60"/>
    <cellStyle name="Обычный 2 18" xfId="11"/>
    <cellStyle name="Обычный 2 18 2" xfId="61"/>
    <cellStyle name="Обычный 2 19" xfId="12"/>
    <cellStyle name="Обычный 2 19 2" xfId="62"/>
    <cellStyle name="Обычный 2 2" xfId="13"/>
    <cellStyle name="Обычный 2 2 2" xfId="63"/>
    <cellStyle name="Обычный 2 20" xfId="14"/>
    <cellStyle name="Обычный 2 20 2" xfId="64"/>
    <cellStyle name="Обычный 2 21" xfId="15"/>
    <cellStyle name="Обычный 2 21 2" xfId="65"/>
    <cellStyle name="Обычный 2 3" xfId="16"/>
    <cellStyle name="Обычный 2 3 2" xfId="66"/>
    <cellStyle name="Обычный 2 4" xfId="17"/>
    <cellStyle name="Обычный 2 4 2" xfId="67"/>
    <cellStyle name="Обычный 2 5" xfId="18"/>
    <cellStyle name="Обычный 2 5 2" xfId="68"/>
    <cellStyle name="Обычный 2 6" xfId="19"/>
    <cellStyle name="Обычный 2 6 2" xfId="69"/>
    <cellStyle name="Обычный 2 7" xfId="20"/>
    <cellStyle name="Обычный 2 7 2" xfId="70"/>
    <cellStyle name="Обычный 2 8" xfId="21"/>
    <cellStyle name="Обычный 2 8 2" xfId="71"/>
    <cellStyle name="Обычный 2 9" xfId="22"/>
    <cellStyle name="Обычный 2 9 2" xfId="72"/>
    <cellStyle name="Обычный 3" xfId="51"/>
    <cellStyle name="Обычный 3 2" xfId="74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  <cellStyle name="Финансовый 2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pn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4</xdr:col>
      <xdr:colOff>110218</xdr:colOff>
      <xdr:row>2</xdr:row>
      <xdr:rowOff>38100</xdr:rowOff>
    </xdr:to>
    <xdr:pic>
      <xdr:nvPicPr>
        <xdr:cNvPr id="4384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9525</xdr:rowOff>
    </xdr:from>
    <xdr:to>
      <xdr:col>4</xdr:col>
      <xdr:colOff>176893</xdr:colOff>
      <xdr:row>2</xdr:row>
      <xdr:rowOff>57150</xdr:rowOff>
    </xdr:to>
    <xdr:pic>
      <xdr:nvPicPr>
        <xdr:cNvPr id="4385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61"/>
  <sheetViews>
    <sheetView tabSelected="1" view="pageBreakPreview" zoomScale="120" zoomScaleNormal="70" zoomScaleSheetLayoutView="120" workbookViewId="0">
      <pane ySplit="3" topLeftCell="A4" activePane="bottomLeft" state="frozen"/>
      <selection activeCell="F4" sqref="F4"/>
      <selection pane="bottomLeft" activeCell="H1" sqref="H1:I1"/>
    </sheetView>
  </sheetViews>
  <sheetFormatPr defaultColWidth="9.109375" defaultRowHeight="13.2" outlineLevelRow="1" x14ac:dyDescent="0.25"/>
  <cols>
    <col min="1" max="1" width="2.44140625" style="14" customWidth="1"/>
    <col min="2" max="2" width="9" style="4" customWidth="1"/>
    <col min="3" max="3" width="10.109375" style="4" hidden="1" customWidth="1"/>
    <col min="4" max="4" width="20.33203125" style="4" customWidth="1"/>
    <col min="5" max="5" width="20" style="4" customWidth="1"/>
    <col min="6" max="6" width="16.33203125" style="4" customWidth="1"/>
    <col min="7" max="7" width="15" style="53" bestFit="1" customWidth="1"/>
    <col min="8" max="8" width="11.33203125" style="47" bestFit="1" customWidth="1"/>
    <col min="9" max="9" width="15.77734375" style="40" customWidth="1"/>
    <col min="10" max="17" width="9.109375" style="115"/>
    <col min="18" max="16384" width="9.109375" style="4"/>
  </cols>
  <sheetData>
    <row r="1" spans="1:17" s="45" customFormat="1" ht="12" customHeight="1" x14ac:dyDescent="0.25">
      <c r="A1" s="29"/>
      <c r="B1" s="118"/>
      <c r="C1" s="118"/>
      <c r="D1" s="118"/>
      <c r="E1" s="131">
        <f>VLOOKUP('КРЕДИТ НА ПІДТРИМКУ БІЗНЕСУ ФОП'!H1,Лист2!A:N,14,FALSE)</f>
        <v>1650</v>
      </c>
      <c r="F1" s="119">
        <f>VLOOKUP(H$1,Лист2!$A:$G,2,0)</f>
        <v>150000</v>
      </c>
      <c r="G1" s="46"/>
      <c r="H1" s="201" t="s">
        <v>42</v>
      </c>
      <c r="I1" s="202"/>
      <c r="J1" s="116"/>
      <c r="K1" s="116"/>
      <c r="L1" s="116"/>
      <c r="M1" s="116"/>
      <c r="N1" s="116"/>
      <c r="O1" s="116"/>
      <c r="P1" s="116"/>
      <c r="Q1" s="116"/>
    </row>
    <row r="2" spans="1:17" s="45" customFormat="1" ht="13.5" customHeight="1" thickBot="1" x14ac:dyDescent="0.3">
      <c r="A2" s="29"/>
      <c r="B2" s="118"/>
      <c r="C2" s="118"/>
      <c r="D2" s="118"/>
      <c r="E2" s="165">
        <f>IF(F4&lt;E1,"x",IF(F4&gt;F1,"y",F4))</f>
        <v>150000</v>
      </c>
      <c r="F2" s="203" t="str">
        <f>IF(E2="x","Збільшіть суму",IF(E2="y","Зменшіть суму",""))</f>
        <v/>
      </c>
      <c r="G2" s="68">
        <f>Назви!B31</f>
        <v>30.4</v>
      </c>
      <c r="H2" s="205" t="str">
        <f>VLOOKUP(H$1,Лист2!$A:$G,7,0)</f>
        <v>max. 150000 грн.</v>
      </c>
      <c r="I2" s="206"/>
      <c r="J2" s="116"/>
      <c r="K2" s="116"/>
      <c r="L2" s="116"/>
      <c r="M2" s="116"/>
      <c r="N2" s="116"/>
      <c r="O2" s="116"/>
      <c r="P2" s="116"/>
      <c r="Q2" s="116"/>
    </row>
    <row r="3" spans="1:17" s="45" customFormat="1" ht="10.5" customHeight="1" thickBot="1" x14ac:dyDescent="0.3">
      <c r="A3" s="29"/>
      <c r="B3" s="29"/>
      <c r="C3" s="29"/>
      <c r="D3" s="29"/>
      <c r="E3" s="140"/>
      <c r="F3" s="204"/>
      <c r="G3" s="157">
        <f ca="1">TODAY()</f>
        <v>44818</v>
      </c>
      <c r="H3" s="171"/>
      <c r="I3" s="54"/>
      <c r="J3" s="116"/>
      <c r="K3" s="116"/>
      <c r="L3" s="116"/>
      <c r="M3" s="116"/>
      <c r="N3" s="116"/>
      <c r="O3" s="116"/>
      <c r="P3" s="116"/>
      <c r="Q3" s="116"/>
    </row>
    <row r="4" spans="1:17" ht="21.6" thickBot="1" x14ac:dyDescent="0.3">
      <c r="A4" s="6"/>
      <c r="B4" s="195" t="str">
        <f>Назви!A1</f>
        <v>Cash out, грн.</v>
      </c>
      <c r="C4" s="196"/>
      <c r="D4" s="196"/>
      <c r="E4" s="197"/>
      <c r="F4" s="111">
        <v>150000</v>
      </c>
      <c r="G4" s="168" t="str">
        <f>Назви!F1</f>
        <v>В місяць</v>
      </c>
      <c r="H4" s="172" t="str">
        <f>Назви!G1</f>
        <v>В день</v>
      </c>
      <c r="I4" s="62"/>
    </row>
    <row r="5" spans="1:17" s="5" customFormat="1" ht="7.5" customHeight="1" x14ac:dyDescent="0.25">
      <c r="A5" s="6"/>
      <c r="B5" s="7"/>
      <c r="C5" s="2"/>
      <c r="D5" s="7"/>
      <c r="E5" s="2"/>
      <c r="F5" s="8"/>
      <c r="G5" s="47"/>
      <c r="H5" s="173"/>
      <c r="I5" s="60"/>
      <c r="J5" s="115"/>
      <c r="K5" s="115"/>
      <c r="L5" s="115"/>
      <c r="M5" s="115"/>
      <c r="N5" s="115"/>
      <c r="O5" s="115"/>
      <c r="P5" s="115"/>
      <c r="Q5" s="115"/>
    </row>
    <row r="6" spans="1:17" x14ac:dyDescent="0.25">
      <c r="A6" s="6"/>
      <c r="B6" s="198" t="str">
        <f>Назви!A3</f>
        <v>Відсоткова ставка річна (%)</v>
      </c>
      <c r="C6" s="199">
        <f>Назви!B3</f>
        <v>0</v>
      </c>
      <c r="D6" s="199">
        <f>Назви!C3</f>
        <v>0</v>
      </c>
      <c r="E6" s="200">
        <f>Назви!D3</f>
        <v>0</v>
      </c>
      <c r="F6" s="41">
        <f>VLOOKUP(H$1,Лист2!$A:$G,4,0)</f>
        <v>1E-4</v>
      </c>
      <c r="G6" s="232">
        <f>F6/12</f>
        <v>8.3333333333333337E-6</v>
      </c>
      <c r="H6" s="174"/>
      <c r="I6" s="62"/>
    </row>
    <row r="7" spans="1:17" s="5" customFormat="1" ht="6.75" customHeight="1" x14ac:dyDescent="0.25">
      <c r="A7" s="6"/>
      <c r="B7" s="7"/>
      <c r="C7" s="2"/>
      <c r="D7" s="7"/>
      <c r="E7" s="2"/>
      <c r="F7" s="106">
        <v>1.0000000000000001E-5</v>
      </c>
      <c r="G7" s="47"/>
      <c r="H7" s="173"/>
      <c r="I7" s="60"/>
      <c r="J7" s="115"/>
      <c r="K7" s="115"/>
      <c r="L7" s="115"/>
      <c r="M7" s="115"/>
      <c r="N7" s="115"/>
      <c r="O7" s="115"/>
      <c r="P7" s="115"/>
      <c r="Q7" s="115"/>
    </row>
    <row r="8" spans="1:17" ht="13.5" customHeight="1" x14ac:dyDescent="0.25">
      <c r="A8" s="6"/>
      <c r="B8" s="198" t="str">
        <f>Лист2!E1</f>
        <v xml:space="preserve">Одноразова комісія за видачу кредиту,% </v>
      </c>
      <c r="C8" s="199">
        <f>Назви!B5</f>
        <v>0</v>
      </c>
      <c r="D8" s="199">
        <f>Назви!C5</f>
        <v>0</v>
      </c>
      <c r="E8" s="200">
        <f>Назви!D5</f>
        <v>0</v>
      </c>
      <c r="F8" s="41">
        <f>VLOOKUP(H$1,Лист2!$A:$G,5,0)</f>
        <v>1.0999999999999999E-2</v>
      </c>
      <c r="G8" s="169"/>
      <c r="H8" s="175"/>
      <c r="I8" s="62"/>
    </row>
    <row r="9" spans="1:17" s="5" customFormat="1" ht="6.75" customHeight="1" x14ac:dyDescent="0.25">
      <c r="A9" s="6"/>
      <c r="B9" s="7"/>
      <c r="C9" s="2"/>
      <c r="D9" s="7"/>
      <c r="E9" s="2"/>
      <c r="F9" s="49"/>
      <c r="G9" s="47"/>
      <c r="H9" s="173"/>
      <c r="I9" s="60"/>
      <c r="J9" s="115"/>
      <c r="K9" s="115"/>
      <c r="L9" s="115"/>
      <c r="M9" s="115"/>
      <c r="N9" s="115"/>
      <c r="O9" s="115"/>
      <c r="P9" s="115"/>
      <c r="Q9" s="115"/>
    </row>
    <row r="10" spans="1:17" x14ac:dyDescent="0.25">
      <c r="A10" s="6"/>
      <c r="B10" s="198" t="str">
        <f>Назви!A7</f>
        <v>Щомісячна плата за обслуговування кредиту (%)</v>
      </c>
      <c r="C10" s="199">
        <f>Назви!B7</f>
        <v>0</v>
      </c>
      <c r="D10" s="199">
        <f>Назви!C7</f>
        <v>0</v>
      </c>
      <c r="E10" s="200">
        <f>Назви!D7</f>
        <v>0</v>
      </c>
      <c r="F10" s="41">
        <f>VLOOKUP(H$1,Лист2!$A:$G,6,0)</f>
        <v>2.9000000000000001E-2</v>
      </c>
      <c r="G10" s="169"/>
      <c r="H10" s="175"/>
      <c r="I10" s="62"/>
    </row>
    <row r="11" spans="1:17" s="5" customFormat="1" ht="6.75" customHeight="1" x14ac:dyDescent="0.25">
      <c r="A11" s="6"/>
      <c r="B11" s="7"/>
      <c r="C11" s="2"/>
      <c r="D11" s="7"/>
      <c r="E11" s="2"/>
      <c r="F11" s="12"/>
      <c r="G11" s="47"/>
      <c r="H11" s="173"/>
      <c r="I11" s="60"/>
      <c r="J11" s="115"/>
      <c r="K11" s="115"/>
      <c r="L11" s="115"/>
      <c r="M11" s="115"/>
      <c r="N11" s="115"/>
      <c r="O11" s="115"/>
      <c r="P11" s="115"/>
      <c r="Q11" s="115"/>
    </row>
    <row r="12" spans="1:17" x14ac:dyDescent="0.25">
      <c r="A12" s="6"/>
      <c r="B12" s="198" t="str">
        <f>Назви!A9</f>
        <v>Термін кредитування (міс)</v>
      </c>
      <c r="C12" s="199">
        <f>Назви!B9</f>
        <v>0</v>
      </c>
      <c r="D12" s="199">
        <f>Назви!C9</f>
        <v>0</v>
      </c>
      <c r="E12" s="200">
        <f>Назви!D9</f>
        <v>0</v>
      </c>
      <c r="F12" s="63">
        <f>VLOOKUP(H$1,Лист2!$A:$G,3,0)</f>
        <v>24</v>
      </c>
      <c r="G12" s="169"/>
      <c r="H12" s="175"/>
      <c r="I12" s="62"/>
    </row>
    <row r="13" spans="1:17" s="14" customFormat="1" ht="11.25" customHeight="1" x14ac:dyDescent="0.25">
      <c r="A13" s="6"/>
      <c r="B13" s="13"/>
      <c r="C13" s="58"/>
      <c r="D13" s="110"/>
      <c r="E13" s="162">
        <f>F4*F8+1+1</f>
        <v>1652</v>
      </c>
      <c r="F13" s="118"/>
      <c r="G13" s="113"/>
      <c r="H13" s="173"/>
      <c r="I13" s="59"/>
      <c r="J13" s="117"/>
      <c r="K13" s="117"/>
      <c r="L13" s="117"/>
      <c r="M13" s="117"/>
      <c r="N13" s="117"/>
      <c r="O13" s="117"/>
      <c r="P13" s="117"/>
      <c r="Q13" s="117"/>
    </row>
    <row r="14" spans="1:17" s="14" customFormat="1" ht="11.25" customHeight="1" x14ac:dyDescent="0.25">
      <c r="A14" s="6"/>
      <c r="B14" s="13"/>
      <c r="C14" s="58"/>
      <c r="D14" s="110"/>
      <c r="E14" s="166">
        <f>E2</f>
        <v>150000</v>
      </c>
      <c r="F14" s="158"/>
      <c r="G14" s="113"/>
      <c r="H14" s="173"/>
      <c r="I14" s="59"/>
      <c r="J14" s="117"/>
      <c r="K14" s="117"/>
      <c r="L14" s="117"/>
      <c r="M14" s="117"/>
      <c r="N14" s="117"/>
      <c r="O14" s="117"/>
      <c r="P14" s="117"/>
      <c r="Q14" s="117"/>
    </row>
    <row r="15" spans="1:17" s="14" customFormat="1" x14ac:dyDescent="0.25">
      <c r="A15" s="6"/>
      <c r="B15" s="178" t="s">
        <v>45</v>
      </c>
      <c r="C15" s="179">
        <f>Назви!B12</f>
        <v>0</v>
      </c>
      <c r="D15" s="179">
        <f>Назви!C12</f>
        <v>0</v>
      </c>
      <c r="E15" s="180">
        <f>Назви!D12</f>
        <v>0</v>
      </c>
      <c r="F15" s="170"/>
      <c r="G15" s="170">
        <f>PMT(F6/12,F12,-E14)+F10*E14</f>
        <v>10600.651062463743</v>
      </c>
      <c r="H15" s="176">
        <f>G15/G2</f>
        <v>348.70562705472838</v>
      </c>
      <c r="I15" s="177"/>
      <c r="J15" s="117"/>
      <c r="K15" s="117"/>
      <c r="L15" s="117"/>
      <c r="M15" s="117"/>
      <c r="N15" s="117"/>
      <c r="O15" s="117"/>
      <c r="P15" s="117"/>
      <c r="Q15" s="117"/>
    </row>
    <row r="16" spans="1:17" s="14" customFormat="1" ht="14.25" customHeight="1" x14ac:dyDescent="0.25">
      <c r="A16" s="6"/>
      <c r="B16" s="17"/>
      <c r="C16" s="17"/>
      <c r="D16" s="17"/>
      <c r="E16" s="17"/>
      <c r="F16" s="18"/>
      <c r="G16" s="19"/>
      <c r="H16" s="173"/>
      <c r="I16" s="59"/>
      <c r="J16" s="117"/>
      <c r="K16" s="117"/>
      <c r="L16" s="117"/>
      <c r="M16" s="117"/>
      <c r="N16" s="117"/>
      <c r="O16" s="117"/>
      <c r="P16" s="117"/>
      <c r="Q16" s="117"/>
    </row>
    <row r="17" spans="1:17" s="14" customFormat="1" x14ac:dyDescent="0.25">
      <c r="A17" s="6"/>
      <c r="B17" s="178" t="str">
        <f>Назви!A14</f>
        <v>Орієнтовна переплата за весь період у грн.</v>
      </c>
      <c r="C17" s="179">
        <f>Назви!B14</f>
        <v>0</v>
      </c>
      <c r="D17" s="179">
        <f>Назви!C14</f>
        <v>0</v>
      </c>
      <c r="E17" s="180">
        <f>Назви!D14</f>
        <v>0</v>
      </c>
      <c r="F17" s="114">
        <f ca="1">G54-E2</f>
        <v>104415.618647889</v>
      </c>
      <c r="G17" s="233">
        <f ca="1">F17/F12</f>
        <v>4350.6507769953751</v>
      </c>
      <c r="H17" s="176">
        <f ca="1">F17/F12/G2</f>
        <v>143.11351240116366</v>
      </c>
      <c r="I17" s="59"/>
      <c r="J17" s="117"/>
      <c r="K17" s="117"/>
      <c r="L17" s="117"/>
      <c r="M17" s="117"/>
      <c r="N17" s="117"/>
      <c r="O17" s="117"/>
      <c r="P17" s="117"/>
      <c r="Q17" s="117"/>
    </row>
    <row r="18" spans="1:17" s="14" customFormat="1" x14ac:dyDescent="0.25">
      <c r="A18" s="6"/>
      <c r="B18" s="17"/>
      <c r="C18" s="17"/>
      <c r="D18" s="17"/>
      <c r="E18" s="17"/>
      <c r="F18" s="22"/>
      <c r="G18" s="19"/>
      <c r="H18" s="20"/>
      <c r="I18" s="1"/>
      <c r="J18" s="117"/>
      <c r="K18" s="117"/>
      <c r="L18" s="117"/>
      <c r="M18" s="117"/>
      <c r="N18" s="117"/>
      <c r="O18" s="117"/>
      <c r="P18" s="117"/>
      <c r="Q18" s="117"/>
    </row>
    <row r="19" spans="1:17" s="9" customFormat="1" ht="38.25" hidden="1" customHeight="1" outlineLevel="1" x14ac:dyDescent="0.25">
      <c r="A19" s="6"/>
      <c r="B19" s="181" t="str">
        <f>Назви!A18</f>
        <v>Інший термін</v>
      </c>
      <c r="C19" s="182">
        <f>Назви!B18</f>
        <v>0</v>
      </c>
      <c r="D19" s="64" t="str">
        <f>Назви!C18</f>
        <v>Щомісячний платіж</v>
      </c>
      <c r="E19" s="65" t="str">
        <f>Назви!D18</f>
        <v>Переплата у грн.               за весь період</v>
      </c>
      <c r="F19" s="23" t="str">
        <f>Назви!E18</f>
        <v>Переплата у відсотках за весь період</v>
      </c>
      <c r="G19" s="23" t="str">
        <f>Назви!F18</f>
        <v>Переплата в місяць</v>
      </c>
      <c r="H19" s="23" t="str">
        <f>Назви!G18</f>
        <v>Переплата в день</v>
      </c>
      <c r="I19" s="23" t="str">
        <f>Назви!H18</f>
        <v>Щодененний платіж</v>
      </c>
      <c r="J19" s="116"/>
      <c r="K19" s="116"/>
      <c r="L19" s="116"/>
      <c r="M19" s="116"/>
      <c r="N19" s="116"/>
      <c r="O19" s="116"/>
      <c r="P19" s="116"/>
      <c r="Q19" s="116"/>
    </row>
    <row r="20" spans="1:17" s="9" customFormat="1" ht="13.8" hidden="1" outlineLevel="1" thickBot="1" x14ac:dyDescent="0.3">
      <c r="A20" s="56" t="str">
        <f>LEFT(B20,2)</f>
        <v>24</v>
      </c>
      <c r="B20" s="183" t="s">
        <v>34</v>
      </c>
      <c r="C20" s="184"/>
      <c r="D20" s="50" t="str">
        <f>IF(ISERROR(#REF!),"",#REF!)</f>
        <v/>
      </c>
      <c r="E20" s="50" t="str">
        <f>IF(ISERROR(#REF!),"",#REF!)</f>
        <v/>
      </c>
      <c r="F20" s="66" t="str">
        <f>IF(ISERROR(#REF!),"",#REF!)</f>
        <v/>
      </c>
      <c r="G20" s="24" t="str">
        <f>IF(ISERROR(E20/A20),"",E20/A20)</f>
        <v/>
      </c>
      <c r="H20" s="25" t="str">
        <f>IF(ISERROR(E20/A20/G$2),"",E20/A20/G$2)</f>
        <v/>
      </c>
      <c r="I20" s="26" t="str">
        <f>IF(ISERROR(D20/G$2),"",D20/G$2)</f>
        <v/>
      </c>
      <c r="J20" s="116"/>
      <c r="K20" s="116"/>
      <c r="L20" s="116"/>
      <c r="M20" s="116"/>
      <c r="N20" s="116"/>
      <c r="O20" s="116"/>
      <c r="P20" s="116"/>
      <c r="Q20" s="116"/>
    </row>
    <row r="21" spans="1:17" s="9" customFormat="1" ht="13.8" hidden="1" outlineLevel="1" thickBot="1" x14ac:dyDescent="0.3">
      <c r="A21" s="56" t="str">
        <f>LEFT(B21,2)</f>
        <v>18</v>
      </c>
      <c r="B21" s="183" t="s">
        <v>35</v>
      </c>
      <c r="C21" s="184"/>
      <c r="D21" s="51" t="str">
        <f>IF(ISERROR(#REF!),"",#REF!)</f>
        <v/>
      </c>
      <c r="E21" s="51" t="str">
        <f>IF(ISERROR(#REF!),"",#REF!)</f>
        <v/>
      </c>
      <c r="F21" s="67" t="str">
        <f>IF(ISERROR(#REF!),"",#REF!)</f>
        <v/>
      </c>
      <c r="G21" s="24" t="str">
        <f>IF(ISERROR(E21/A21),"",E21/A21)</f>
        <v/>
      </c>
      <c r="H21" s="25" t="str">
        <f>IF(ISERROR(E21/A21/G$2),"",E21/A21/G$2)</f>
        <v/>
      </c>
      <c r="I21" s="26" t="str">
        <f>IF(ISERROR(D21/G$2),"",D21/G$2)</f>
        <v/>
      </c>
      <c r="J21" s="116"/>
      <c r="K21" s="116"/>
      <c r="L21" s="116"/>
      <c r="M21" s="116"/>
      <c r="N21" s="116"/>
      <c r="O21" s="116"/>
      <c r="P21" s="116"/>
      <c r="Q21" s="116"/>
    </row>
    <row r="22" spans="1:17" s="9" customFormat="1" ht="13.8" hidden="1" outlineLevel="1" thickBot="1" x14ac:dyDescent="0.3">
      <c r="A22" s="56" t="str">
        <f>LEFT(B22,2)</f>
        <v>12</v>
      </c>
      <c r="B22" s="183" t="s">
        <v>11</v>
      </c>
      <c r="C22" s="184"/>
      <c r="D22" s="51" t="str">
        <f>IF(ISERROR(#REF!),"",#REF!)</f>
        <v/>
      </c>
      <c r="E22" s="51" t="str">
        <f>IF(ISERROR(#REF!),"",#REF!)</f>
        <v/>
      </c>
      <c r="F22" s="67" t="str">
        <f>IF(ISERROR(#REF!),"",#REF!)</f>
        <v/>
      </c>
      <c r="G22" s="24" t="str">
        <f>IF(ISERROR(E22/A22),"",E22/A22)</f>
        <v/>
      </c>
      <c r="H22" s="25" t="str">
        <f>IF(ISERROR(E22/A22/G$2),"",E22/A22/G$2)</f>
        <v/>
      </c>
      <c r="I22" s="26" t="str">
        <f>IF(ISERROR(D22/G$2),"",D22/G$2)</f>
        <v/>
      </c>
      <c r="J22" s="116"/>
      <c r="K22" s="116"/>
      <c r="L22" s="116"/>
      <c r="M22" s="116"/>
      <c r="N22" s="116"/>
      <c r="O22" s="116"/>
      <c r="P22" s="116"/>
      <c r="Q22" s="116"/>
    </row>
    <row r="23" spans="1:17" s="9" customFormat="1" ht="13.8" hidden="1" outlineLevel="1" thickBot="1" x14ac:dyDescent="0.3">
      <c r="A23" s="56" t="str">
        <f>LEFT(B23,2)</f>
        <v/>
      </c>
      <c r="B23" s="183"/>
      <c r="C23" s="184"/>
      <c r="D23" s="51" t="str">
        <f>IF(ISERROR(#REF!),"",#REF!)</f>
        <v/>
      </c>
      <c r="E23" s="51" t="str">
        <f>IF(ISERROR(#REF!),"",#REF!)</f>
        <v/>
      </c>
      <c r="F23" s="67" t="str">
        <f>IF(ISERROR(#REF!),"",#REF!)</f>
        <v/>
      </c>
      <c r="G23" s="24" t="str">
        <f>IF(ISERROR(E23/A23),"",E23/A23)</f>
        <v/>
      </c>
      <c r="H23" s="25" t="str">
        <f>IF(ISERROR(E23/A23/G$2),"",E23/A23/G$2)</f>
        <v/>
      </c>
      <c r="I23" s="26" t="str">
        <f>IF(ISERROR(D23/G$2),"",D23/G$2)</f>
        <v/>
      </c>
      <c r="J23" s="116"/>
      <c r="K23" s="116"/>
      <c r="L23" s="116"/>
      <c r="M23" s="116"/>
      <c r="N23" s="116"/>
      <c r="O23" s="116"/>
      <c r="P23" s="116"/>
      <c r="Q23" s="116"/>
    </row>
    <row r="24" spans="1:17" s="9" customFormat="1" ht="13.8" hidden="1" collapsed="1" thickBot="1" x14ac:dyDescent="0.3">
      <c r="A24" s="28"/>
      <c r="B24" s="7"/>
      <c r="C24" s="17"/>
      <c r="D24" s="7"/>
      <c r="E24" s="27"/>
      <c r="F24" s="28"/>
      <c r="G24" s="46"/>
      <c r="H24" s="47"/>
      <c r="I24" s="29"/>
      <c r="J24" s="116"/>
      <c r="K24" s="116"/>
      <c r="L24" s="116"/>
      <c r="M24" s="116"/>
      <c r="N24" s="116"/>
      <c r="O24" s="116"/>
      <c r="P24" s="116"/>
      <c r="Q24" s="116"/>
    </row>
    <row r="25" spans="1:17" s="14" customFormat="1" ht="13.8" hidden="1" thickBot="1" x14ac:dyDescent="0.3">
      <c r="A25" s="6"/>
      <c r="B25" s="30"/>
      <c r="C25" s="17"/>
      <c r="D25" s="123"/>
      <c r="E25" s="31"/>
      <c r="F25" s="32"/>
      <c r="G25" s="20"/>
      <c r="H25" s="19"/>
      <c r="I25" s="1"/>
      <c r="J25" s="117"/>
      <c r="K25" s="117"/>
      <c r="L25" s="117"/>
      <c r="M25" s="117"/>
      <c r="N25" s="117"/>
      <c r="O25" s="117"/>
      <c r="P25" s="117"/>
      <c r="Q25" s="117"/>
    </row>
    <row r="26" spans="1:17" ht="18" hidden="1" thickBot="1" x14ac:dyDescent="0.3">
      <c r="A26" s="1"/>
      <c r="B26" s="189" t="str">
        <f>Назви!A25</f>
        <v xml:space="preserve">ОРІЄНТОВНИЙ ГРАФІК СПЛАТИ КРЕДИТУ </v>
      </c>
      <c r="C26" s="190"/>
      <c r="D26" s="190"/>
      <c r="E26" s="190"/>
      <c r="F26" s="190"/>
      <c r="G26" s="190"/>
      <c r="H26" s="191"/>
      <c r="I26" s="167"/>
    </row>
    <row r="27" spans="1:17" ht="31.2" hidden="1" customHeight="1" thickBot="1" x14ac:dyDescent="0.3">
      <c r="A27" s="1"/>
      <c r="B27" s="192" t="str">
        <f>Назви!A26</f>
        <v>Місяць</v>
      </c>
      <c r="C27" s="193"/>
      <c r="D27" s="112" t="str">
        <f>Назви!C26</f>
        <v>Розмір щомісячних внесків з повернення кредиту, грн.</v>
      </c>
      <c r="E27" s="112" t="str">
        <f>Назви!D26</f>
        <v>Розмір щомісячної плати за обслуговування кредиту, грн.</v>
      </c>
      <c r="F27" s="112" t="str">
        <f>Назви!E26</f>
        <v>Розмір щомісячних процентних внесків, грн.</v>
      </c>
      <c r="G27" s="192" t="str">
        <f>Назви!F26</f>
        <v>Загальна сума внесків до повернення в місяць, грн.</v>
      </c>
      <c r="H27" s="194"/>
      <c r="I27" s="164" t="str">
        <f>Лист2!N1</f>
        <v xml:space="preserve">Сума комісії за видачу кредиту </v>
      </c>
    </row>
    <row r="28" spans="1:17" ht="21.6" hidden="1" customHeight="1" thickBot="1" x14ac:dyDescent="0.3">
      <c r="A28" s="1"/>
      <c r="B28" s="161">
        <v>0</v>
      </c>
      <c r="C28" s="124">
        <f ca="1">TODAY()</f>
        <v>44818</v>
      </c>
      <c r="D28" s="160"/>
      <c r="E28" s="108"/>
      <c r="F28" s="107"/>
      <c r="G28" s="207">
        <f>-E2</f>
        <v>-150000</v>
      </c>
      <c r="H28" s="208"/>
      <c r="I28" s="163">
        <f>E13</f>
        <v>1652</v>
      </c>
    </row>
    <row r="29" spans="1:17" ht="27.6" hidden="1" customHeight="1" x14ac:dyDescent="0.25">
      <c r="A29" s="1">
        <v>1</v>
      </c>
      <c r="B29" s="122">
        <v>1</v>
      </c>
      <c r="C29" s="128">
        <f ca="1">DATE(YEAR(C28),MONTH(C28)+1,DAY(C28))</f>
        <v>44848</v>
      </c>
      <c r="D29" s="129">
        <f ca="1">IF(B29&lt;$F$12,$G$15-E29-F29,IF(B29=$F$12,$E$14-SUM($D$28:D28),0))</f>
        <v>6249.4181857514141</v>
      </c>
      <c r="E29" s="130">
        <f>IF(B29&lt;=$F$12,(E$14*(VLOOKUP($H$1,Лист2!$A:$N,12,0)-(B29-1)*VLOOKUP($H$1,Лист2!$A:$N,13,0))),0)</f>
        <v>4350</v>
      </c>
      <c r="F29" s="130">
        <f ca="1">($E$14-SUM($D$28:D28))*$F$6/365*(C29-C28)</f>
        <v>1.2328767123287672</v>
      </c>
      <c r="G29" s="187">
        <f ca="1">D29+E29+F29</f>
        <v>10600.651062463743</v>
      </c>
      <c r="H29" s="188"/>
      <c r="I29" s="3"/>
    </row>
    <row r="30" spans="1:17" hidden="1" x14ac:dyDescent="0.25">
      <c r="A30" s="1">
        <v>2</v>
      </c>
      <c r="B30" s="121">
        <v>2</v>
      </c>
      <c r="C30" s="125">
        <f t="shared" ref="C30:C52" ca="1" si="0">DATE(YEAR(C29),MONTH(C29)+1,DAY(C29))</f>
        <v>44879</v>
      </c>
      <c r="D30" s="33">
        <f ca="1">IF(B30&lt;$F$12,$G$15-E30-F30,IF(B30=$F$12,$E$14-SUM($D$28:D29),0))</f>
        <v>6249.4301671113481</v>
      </c>
      <c r="E30" s="34">
        <f>IF(B30&lt;=$F$12,(E$14*(VLOOKUP($H$1,Лист2!$A:$N,12,0)-(B30-1)*VLOOKUP($H$1,Лист2!$A:$N,13,0))),0)</f>
        <v>4350</v>
      </c>
      <c r="F30" s="34">
        <f ca="1">($E$14-SUM($D$28:D29))*$F$6/365*(C30-C29)</f>
        <v>1.2208953523949879</v>
      </c>
      <c r="G30" s="185">
        <f t="shared" ref="G30:G40" ca="1" si="1">D30+E30+F30</f>
        <v>10600.651062463743</v>
      </c>
      <c r="H30" s="186"/>
      <c r="I30" s="3"/>
    </row>
    <row r="31" spans="1:17" hidden="1" x14ac:dyDescent="0.25">
      <c r="A31" s="1">
        <v>3</v>
      </c>
      <c r="B31" s="121">
        <v>3</v>
      </c>
      <c r="C31" s="125">
        <f t="shared" ca="1" si="0"/>
        <v>44909</v>
      </c>
      <c r="D31" s="33">
        <f ca="1">IF(B31&lt;$F$12,$G$15-E31-F31,IF(B31=$F$12,$E$14-SUM($D$28:D30),0))</f>
        <v>6249.5209160118484</v>
      </c>
      <c r="E31" s="34">
        <f>IF(B31&lt;=$F$12,(E$14*(VLOOKUP($H$1,Лист2!$A:$N,12,0)-(B31-1)*VLOOKUP($H$1,Лист2!$A:$N,13,0))),0)</f>
        <v>4350</v>
      </c>
      <c r="F31" s="34">
        <f ca="1">($E$14-SUM($D$28:D30))*$F$6/365*(C31-C30)</f>
        <v>1.1301464518942788</v>
      </c>
      <c r="G31" s="185">
        <f t="shared" ca="1" si="1"/>
        <v>10600.651062463743</v>
      </c>
      <c r="H31" s="186"/>
      <c r="I31" s="3"/>
    </row>
    <row r="32" spans="1:17" hidden="1" x14ac:dyDescent="0.25">
      <c r="A32" s="1">
        <v>4</v>
      </c>
      <c r="B32" s="121">
        <v>4</v>
      </c>
      <c r="C32" s="125">
        <f t="shared" ca="1" si="0"/>
        <v>44940</v>
      </c>
      <c r="D32" s="33">
        <f ca="1">IF(B32&lt;$F$12,$G$15-E32-F32,IF(B32=$F$12,$E$14-SUM($D$28:D31),0))</f>
        <v>6249.5363225863002</v>
      </c>
      <c r="E32" s="34">
        <f>IF(B32&lt;=$F$12,(E$14*(VLOOKUP($H$1,Лист2!$A:$N,12,0)-(B32-1)*VLOOKUP($H$1,Лист2!$A:$N,13,0))),0)</f>
        <v>4350</v>
      </c>
      <c r="F32" s="34">
        <f ca="1">($E$14-SUM($D$28:D31))*$F$6/365*(C32-C31)</f>
        <v>1.1147398774424349</v>
      </c>
      <c r="G32" s="185">
        <f t="shared" ca="1" si="1"/>
        <v>10600.651062463743</v>
      </c>
      <c r="H32" s="186"/>
      <c r="I32" s="3"/>
    </row>
    <row r="33" spans="1:9" hidden="1" x14ac:dyDescent="0.25">
      <c r="A33" s="1">
        <v>5</v>
      </c>
      <c r="B33" s="121">
        <v>5</v>
      </c>
      <c r="C33" s="125">
        <f t="shared" ca="1" si="0"/>
        <v>44971</v>
      </c>
      <c r="D33" s="33">
        <f ca="1">IF(B33&lt;$F$12,$G$15-E33-F33,IF(B33=$F$12,$E$14-SUM($D$28:D32),0))</f>
        <v>6249.5894008399991</v>
      </c>
      <c r="E33" s="34">
        <f>IF(B33&lt;=$F$12,(E$14*(VLOOKUP($H$1,Лист2!$A:$N,12,0)-(B33-1)*VLOOKUP($H$1,Лист2!$A:$N,13,0))),0)</f>
        <v>4350</v>
      </c>
      <c r="F33" s="34">
        <f ca="1">($E$14-SUM($D$28:D32))*$F$6/365*(C33-C32)</f>
        <v>1.0616616237437566</v>
      </c>
      <c r="G33" s="185">
        <f t="shared" ca="1" si="1"/>
        <v>10600.651062463743</v>
      </c>
      <c r="H33" s="186"/>
      <c r="I33" s="3"/>
    </row>
    <row r="34" spans="1:9" hidden="1" x14ac:dyDescent="0.25">
      <c r="A34" s="1">
        <v>6</v>
      </c>
      <c r="B34" s="121">
        <v>6</v>
      </c>
      <c r="C34" s="125">
        <f t="shared" ca="1" si="0"/>
        <v>44999</v>
      </c>
      <c r="D34" s="33">
        <f ca="1">IF(B34&lt;$F$12,$G$15-E34-F34,IF(B34=$F$12,$E$14-SUM($D$28:D33),0))</f>
        <v>6249.740084343136</v>
      </c>
      <c r="E34" s="34">
        <f>IF(B34&lt;=$F$12,(E$14*(VLOOKUP($H$1,Лист2!$A:$N,12,0)-(B34-1)*VLOOKUP($H$1,Лист2!$A:$N,13,0))),0)</f>
        <v>4350</v>
      </c>
      <c r="F34" s="34">
        <f ca="1">($E$14-SUM($D$28:D33))*$F$6/365*(C34-C33)</f>
        <v>0.91097812060700656</v>
      </c>
      <c r="G34" s="185">
        <f t="shared" ca="1" si="1"/>
        <v>10600.651062463741</v>
      </c>
      <c r="H34" s="186"/>
      <c r="I34" s="3"/>
    </row>
    <row r="35" spans="1:9" hidden="1" x14ac:dyDescent="0.25">
      <c r="A35" s="1">
        <v>7</v>
      </c>
      <c r="B35" s="121">
        <v>7</v>
      </c>
      <c r="C35" s="125">
        <f t="shared" ca="1" si="0"/>
        <v>45030</v>
      </c>
      <c r="D35" s="33">
        <f ca="1">IF(B35&lt;$F$12,$G$15-E35-F35,IF(B35=$F$12,$E$14-SUM($D$28:D34),0))</f>
        <v>6249.6955595287773</v>
      </c>
      <c r="E35" s="34">
        <f>IF(B35&lt;=$F$12,(E$14*(VLOOKUP($H$1,Лист2!$A:$N,12,0)-(B35-1)*VLOOKUP($H$1,Лист2!$A:$N,13,0))),0)</f>
        <v>4350</v>
      </c>
      <c r="F35" s="34">
        <f ca="1">($E$14-SUM($D$28:D34))*$F$6/365*(C35-C34)</f>
        <v>0.95550293496548888</v>
      </c>
      <c r="G35" s="185">
        <f t="shared" ca="1" si="1"/>
        <v>10600.651062463741</v>
      </c>
      <c r="H35" s="186"/>
      <c r="I35" s="3"/>
    </row>
    <row r="36" spans="1:9" hidden="1" x14ac:dyDescent="0.25">
      <c r="A36" s="1">
        <v>8</v>
      </c>
      <c r="B36" s="121">
        <v>8</v>
      </c>
      <c r="C36" s="125">
        <f t="shared" ca="1" si="0"/>
        <v>45060</v>
      </c>
      <c r="D36" s="33">
        <f ca="1">IF(B36&lt;$F$12,$G$15-E36-F36,IF(B36=$F$12,$E$14-SUM($D$28:D35),0))</f>
        <v>6249.7777495648625</v>
      </c>
      <c r="E36" s="34">
        <f>IF(B36&lt;=$F$12,(E$14*(VLOOKUP($H$1,Лист2!$A:$N,12,0)-(B36-1)*VLOOKUP($H$1,Лист2!$A:$N,13,0))),0)</f>
        <v>4350</v>
      </c>
      <c r="F36" s="34">
        <f ca="1">($E$14-SUM($D$28:D35))*$F$6/365*(C36-C35)</f>
        <v>0.87331289888077146</v>
      </c>
      <c r="G36" s="185">
        <f t="shared" ca="1" si="1"/>
        <v>10600.651062463743</v>
      </c>
      <c r="H36" s="186"/>
      <c r="I36" s="3"/>
    </row>
    <row r="37" spans="1:9" hidden="1" x14ac:dyDescent="0.25">
      <c r="A37" s="1">
        <v>9</v>
      </c>
      <c r="B37" s="121">
        <v>9</v>
      </c>
      <c r="C37" s="125">
        <f t="shared" ca="1" si="0"/>
        <v>45091</v>
      </c>
      <c r="D37" s="33">
        <f ca="1">IF(B37&lt;$F$12,$G$15-E37-F37,IF(B37=$F$12,$E$14-SUM($D$28:D36),0))</f>
        <v>6249.8017194390741</v>
      </c>
      <c r="E37" s="34">
        <f>IF(B37&lt;=$F$12,(E$14*(VLOOKUP($H$1,Лист2!$A:$N,12,0)-(B37-1)*VLOOKUP($H$1,Лист2!$A:$N,13,0))),0)</f>
        <v>4350</v>
      </c>
      <c r="F37" s="34">
        <f ca="1">($E$14-SUM($D$28:D36))*$F$6/365*(C37-C36)</f>
        <v>0.84934302466907718</v>
      </c>
      <c r="G37" s="185">
        <f t="shared" ca="1" si="1"/>
        <v>10600.651062463743</v>
      </c>
      <c r="H37" s="186"/>
      <c r="I37" s="3"/>
    </row>
    <row r="38" spans="1:9" hidden="1" x14ac:dyDescent="0.25">
      <c r="A38" s="1">
        <v>10</v>
      </c>
      <c r="B38" s="121">
        <v>10</v>
      </c>
      <c r="C38" s="125">
        <f t="shared" ca="1" si="0"/>
        <v>45121</v>
      </c>
      <c r="D38" s="33">
        <f ca="1">IF(B38&lt;$F$12,$G$15-E38-F38,IF(B38=$F$12,$E$14-SUM($D$28:D37),0))</f>
        <v>6249.8804858344702</v>
      </c>
      <c r="E38" s="34">
        <f>IF(B38&lt;=$F$12,(E$14*(VLOOKUP($H$1,Лист2!$A:$N,12,0)-(B38-1)*VLOOKUP($H$1,Лист2!$A:$N,13,0))),0)</f>
        <v>4350</v>
      </c>
      <c r="F38" s="34">
        <f ca="1">($E$14-SUM($D$28:D37))*$F$6/365*(C38-C37)</f>
        <v>0.7705766292725198</v>
      </c>
      <c r="G38" s="185">
        <f t="shared" ca="1" si="1"/>
        <v>10600.651062463743</v>
      </c>
      <c r="H38" s="186"/>
      <c r="I38" s="3"/>
    </row>
    <row r="39" spans="1:9" hidden="1" x14ac:dyDescent="0.25">
      <c r="A39" s="1">
        <v>22</v>
      </c>
      <c r="B39" s="121">
        <v>11</v>
      </c>
      <c r="C39" s="125">
        <f t="shared" ca="1" si="0"/>
        <v>45152</v>
      </c>
      <c r="D39" s="33">
        <f ca="1">IF(B39&lt;$F$12,$G$15-E39-F39,IF(B39=$F$12,$E$14-SUM($D$28:D38),0))</f>
        <v>6249.9078811235568</v>
      </c>
      <c r="E39" s="34">
        <f>IF(B39&lt;=$F$12,(E$14*(VLOOKUP($H$1,Лист2!$A:$N,12,0)-(B39-1)*VLOOKUP($H$1,Лист2!$A:$N,13,0))),0)</f>
        <v>4350</v>
      </c>
      <c r="F39" s="34">
        <f ca="1">($E$14-SUM($D$28:D38))*$F$6/365*(C39-C38)</f>
        <v>0.74318134018593207</v>
      </c>
      <c r="G39" s="185">
        <f t="shared" ca="1" si="1"/>
        <v>10600.651062463741</v>
      </c>
      <c r="H39" s="186"/>
      <c r="I39" s="3"/>
    </row>
    <row r="40" spans="1:9" hidden="1" x14ac:dyDescent="0.25">
      <c r="A40" s="1">
        <v>22</v>
      </c>
      <c r="B40" s="121">
        <v>12</v>
      </c>
      <c r="C40" s="125">
        <f t="shared" ca="1" si="0"/>
        <v>45183</v>
      </c>
      <c r="D40" s="33">
        <f ca="1">IF(B40&lt;$F$12,$G$15-E40-F40,IF(B40=$F$12,$E$14-SUM($D$28:D39),0))</f>
        <v>6249.9609625329585</v>
      </c>
      <c r="E40" s="34">
        <f>IF(B40&lt;=$F$12,(E$14*(VLOOKUP($H$1,Лист2!$A:$N,12,0)-(B40-1)*VLOOKUP($H$1,Лист2!$A:$N,13,0))),0)</f>
        <v>4350</v>
      </c>
      <c r="F40" s="34">
        <f ca="1">($E$14-SUM($D$28:D39))*$F$6/365*(C40-C39)</f>
        <v>0.69009993078460885</v>
      </c>
      <c r="G40" s="185">
        <f t="shared" ca="1" si="1"/>
        <v>10600.651062463743</v>
      </c>
      <c r="H40" s="186"/>
      <c r="I40" s="3"/>
    </row>
    <row r="41" spans="1:9" hidden="1" x14ac:dyDescent="0.25">
      <c r="A41" s="1">
        <v>13</v>
      </c>
      <c r="B41" s="121">
        <v>13</v>
      </c>
      <c r="C41" s="125">
        <f t="shared" ca="1" si="0"/>
        <v>45213</v>
      </c>
      <c r="D41" s="33">
        <f ca="1">IF(B41&lt;$F$12,$G$15-E41-F41,IF(B41=$F$12,$E$14-SUM($D$28:D40),0))</f>
        <v>6250.0345933632061</v>
      </c>
      <c r="E41" s="34">
        <f>IF(B41&lt;=$F$12,(E$14*(VLOOKUP($H$1,Лист2!$A:$N,12,0)-(B41-1)*VLOOKUP($H$1,Лист2!$A:$N,13,0))),0)</f>
        <v>4350</v>
      </c>
      <c r="F41" s="34">
        <f ca="1">($E$14-SUM($D$28:D40))*$F$6/365*(C41-C40)</f>
        <v>0.61646910053697757</v>
      </c>
      <c r="G41" s="185">
        <f t="shared" ref="G41:G52" ca="1" si="2">D41+E41+F41</f>
        <v>10600.651062463743</v>
      </c>
      <c r="H41" s="186"/>
      <c r="I41" s="3"/>
    </row>
    <row r="42" spans="1:9" hidden="1" x14ac:dyDescent="0.25">
      <c r="A42" s="1">
        <v>14</v>
      </c>
      <c r="B42" s="121">
        <v>14</v>
      </c>
      <c r="C42" s="125">
        <f t="shared" ca="1" si="0"/>
        <v>45244</v>
      </c>
      <c r="D42" s="33">
        <f ca="1">IF(B42&lt;$F$12,$G$15-E42-F42,IF(B42=$F$12,$E$14-SUM($D$28:D41),0))</f>
        <v>6250.0671268787755</v>
      </c>
      <c r="E42" s="34">
        <f>IF(B42&lt;=$F$12,(E$14*(VLOOKUP($H$1,Лист2!$A:$N,12,0)-(B42-1)*VLOOKUP($H$1,Лист2!$A:$N,13,0))),0)</f>
        <v>4350</v>
      </c>
      <c r="F42" s="34">
        <f ca="1">($E$14-SUM($D$28:D41))*$F$6/365*(C42-C41)</f>
        <v>0.58393558496740849</v>
      </c>
      <c r="G42" s="185">
        <f t="shared" ca="1" si="2"/>
        <v>10600.651062463743</v>
      </c>
      <c r="H42" s="186"/>
      <c r="I42" s="3"/>
    </row>
    <row r="43" spans="1:9" hidden="1" x14ac:dyDescent="0.25">
      <c r="A43" s="1">
        <v>15</v>
      </c>
      <c r="B43" s="121">
        <v>15</v>
      </c>
      <c r="C43" s="125">
        <f t="shared" ca="1" si="0"/>
        <v>45274</v>
      </c>
      <c r="D43" s="33">
        <f ca="1">IF(B43&lt;$F$12,$G$15-E43-F43,IF(B43=$F$12,$E$14-SUM($D$28:D42),0))</f>
        <v>6250.1373339252905</v>
      </c>
      <c r="E43" s="34">
        <f>IF(B43&lt;=$F$12,(E$14*(VLOOKUP($H$1,Лист2!$A:$N,12,0)-(B43-1)*VLOOKUP($H$1,Лист2!$A:$N,13,0))),0)</f>
        <v>4350</v>
      </c>
      <c r="F43" s="34">
        <f ca="1">($E$14-SUM($D$28:D42))*$F$6/365*(C43-C42)</f>
        <v>0.51372853845279687</v>
      </c>
      <c r="G43" s="185">
        <f t="shared" ca="1" si="2"/>
        <v>10600.651062463743</v>
      </c>
      <c r="H43" s="186"/>
      <c r="I43" s="3"/>
    </row>
    <row r="44" spans="1:9" hidden="1" x14ac:dyDescent="0.25">
      <c r="A44" s="1">
        <v>16</v>
      </c>
      <c r="B44" s="121">
        <v>16</v>
      </c>
      <c r="C44" s="125">
        <f t="shared" ca="1" si="0"/>
        <v>45305</v>
      </c>
      <c r="D44" s="33">
        <f ca="1">IF(B44&lt;$F$12,$G$15-E44-F44,IF(B44=$F$12,$E$14-SUM($D$28:D43),0))</f>
        <v>6250.1732929988539</v>
      </c>
      <c r="E44" s="34">
        <f>IF(B44&lt;=$F$12,(E$14*(VLOOKUP($H$1,Лист2!$A:$N,12,0)-(B44-1)*VLOOKUP($H$1,Лист2!$A:$N,13,0))),0)</f>
        <v>4350</v>
      </c>
      <c r="F44" s="34">
        <f ca="1">($E$14-SUM($D$28:D43))*$F$6/365*(C44-C43)</f>
        <v>0.47776946488934657</v>
      </c>
      <c r="G44" s="185">
        <f t="shared" ca="1" si="2"/>
        <v>10600.651062463743</v>
      </c>
      <c r="H44" s="186"/>
      <c r="I44" s="3"/>
    </row>
    <row r="45" spans="1:9" hidden="1" x14ac:dyDescent="0.25">
      <c r="A45" s="1">
        <v>22</v>
      </c>
      <c r="B45" s="121">
        <v>17</v>
      </c>
      <c r="C45" s="125">
        <f t="shared" ca="1" si="0"/>
        <v>45336</v>
      </c>
      <c r="D45" s="33">
        <f ca="1">IF(B45&lt;$F$12,$G$15-E45-F45,IF(B45=$F$12,$E$14-SUM($D$28:D44),0))</f>
        <v>6250.2263766624383</v>
      </c>
      <c r="E45" s="34">
        <f>IF(B45&lt;=$F$12,(E$14*(VLOOKUP($H$1,Лист2!$A:$N,12,0)-(B45-1)*VLOOKUP($H$1,Лист2!$A:$N,13,0))),0)</f>
        <v>4350</v>
      </c>
      <c r="F45" s="34">
        <f ca="1">($E$14-SUM($D$28:D44))*$F$6/365*(C45-C44)</f>
        <v>0.42468580130497274</v>
      </c>
      <c r="G45" s="185">
        <f t="shared" ca="1" si="2"/>
        <v>10600.651062463743</v>
      </c>
      <c r="H45" s="186"/>
      <c r="I45" s="3"/>
    </row>
    <row r="46" spans="1:9" hidden="1" x14ac:dyDescent="0.25">
      <c r="A46" s="1">
        <v>22</v>
      </c>
      <c r="B46" s="121">
        <v>18</v>
      </c>
      <c r="C46" s="125">
        <f t="shared" ca="1" si="0"/>
        <v>45365</v>
      </c>
      <c r="D46" s="33">
        <f ca="1">IF(B46&lt;$F$12,$G$15-E46-F46,IF(B46=$F$12,$E$14-SUM($D$28:D45),0))</f>
        <v>6250.3034350792486</v>
      </c>
      <c r="E46" s="34">
        <f>IF(B46&lt;=$F$12,(E$14*(VLOOKUP($H$1,Лист2!$A:$N,12,0)-(B46-1)*VLOOKUP($H$1,Лист2!$A:$N,13,0))),0)</f>
        <v>4350</v>
      </c>
      <c r="F46" s="34">
        <f ca="1">($E$14-SUM($D$28:D45))*$F$6/365*(C46-C45)</f>
        <v>0.34762738449413905</v>
      </c>
      <c r="G46" s="185">
        <f t="shared" ca="1" si="2"/>
        <v>10600.651062463741</v>
      </c>
      <c r="H46" s="186"/>
      <c r="I46" s="3"/>
    </row>
    <row r="47" spans="1:9" hidden="1" x14ac:dyDescent="0.25">
      <c r="A47" s="1">
        <v>19</v>
      </c>
      <c r="B47" s="121">
        <v>19</v>
      </c>
      <c r="C47" s="125">
        <f t="shared" ca="1" si="0"/>
        <v>45396</v>
      </c>
      <c r="D47" s="33">
        <f ca="1">IF(B47&lt;$F$12,$G$15-E47-F47,IF(B47=$F$12,$E$14-SUM($D$28:D46),0))</f>
        <v>6250.3325455457707</v>
      </c>
      <c r="E47" s="34">
        <f>IF(B47&lt;=$F$12,(E$14*(VLOOKUP($H$1,Лист2!$A:$N,12,0)-(B47-1)*VLOOKUP($H$1,Лист2!$A:$N,13,0))),0)</f>
        <v>4350</v>
      </c>
      <c r="F47" s="34">
        <f ca="1">($E$14-SUM($D$28:D46))*$F$6/365*(C47-C46)</f>
        <v>0.31851691797237219</v>
      </c>
      <c r="G47" s="185">
        <f t="shared" ca="1" si="2"/>
        <v>10600.651062463743</v>
      </c>
      <c r="H47" s="186"/>
      <c r="I47" s="3"/>
    </row>
    <row r="48" spans="1:9" hidden="1" x14ac:dyDescent="0.25">
      <c r="A48" s="1">
        <v>20</v>
      </c>
      <c r="B48" s="121">
        <v>20</v>
      </c>
      <c r="C48" s="125">
        <f t="shared" ca="1" si="0"/>
        <v>45426</v>
      </c>
      <c r="D48" s="33">
        <f ca="1">IF(B48&lt;$F$12,$G$15-E48-F48,IF(B48=$F$12,$E$14-SUM($D$28:D47),0))</f>
        <v>6250.3941928813247</v>
      </c>
      <c r="E48" s="34">
        <f>IF(B48&lt;=$F$12,(E$14*(VLOOKUP($H$1,Лист2!$A:$N,12,0)-(B48-1)*VLOOKUP($H$1,Лист2!$A:$N,13,0))),0)</f>
        <v>4350</v>
      </c>
      <c r="F48" s="34">
        <f ca="1">($E$14-SUM($D$28:D47))*$F$6/365*(C48-C47)</f>
        <v>0.25686958241818109</v>
      </c>
      <c r="G48" s="185">
        <f t="shared" ca="1" si="2"/>
        <v>10600.651062463743</v>
      </c>
      <c r="H48" s="186"/>
      <c r="I48" s="3"/>
    </row>
    <row r="49" spans="1:9" hidden="1" x14ac:dyDescent="0.25">
      <c r="A49" s="59">
        <v>21</v>
      </c>
      <c r="B49" s="121">
        <v>21</v>
      </c>
      <c r="C49" s="125">
        <f t="shared" ca="1" si="0"/>
        <v>45457</v>
      </c>
      <c r="D49" s="33">
        <f ca="1">IF(B49&lt;$F$12,$G$15-E49-F49,IF(B49=$F$12,$E$14-SUM($D$28:D48),0))</f>
        <v>6250.4387161016311</v>
      </c>
      <c r="E49" s="34">
        <f>IF(B49&lt;=$F$12,(E$14*(VLOOKUP($H$1,Лист2!$A:$N,12,0)-(B49-1)*VLOOKUP($H$1,Лист2!$A:$N,13,0))),0)</f>
        <v>4350</v>
      </c>
      <c r="F49" s="34">
        <f ca="1">($E$14-SUM($D$28:D48))*$F$6/365*(C49-C48)</f>
        <v>0.2123463621117585</v>
      </c>
      <c r="G49" s="185">
        <f t="shared" ca="1" si="2"/>
        <v>10600.651062463743</v>
      </c>
      <c r="H49" s="186"/>
      <c r="I49" s="3"/>
    </row>
    <row r="50" spans="1:9" hidden="1" x14ac:dyDescent="0.25">
      <c r="A50" s="59">
        <v>22</v>
      </c>
      <c r="B50" s="121">
        <v>22</v>
      </c>
      <c r="C50" s="125">
        <f t="shared" ca="1" si="0"/>
        <v>45487</v>
      </c>
      <c r="D50" s="33">
        <f ca="1">IF(B50&lt;$F$12,$G$15-E50-F50,IF(B50=$F$12,$E$14-SUM($D$28:D49),0))</f>
        <v>6250.4969394531799</v>
      </c>
      <c r="E50" s="34">
        <f>IF(B50&lt;=$F$12,(E$14*(VLOOKUP($H$1,Лист2!$A:$N,12,0)-(B50-1)*VLOOKUP($H$1,Лист2!$A:$N,13,0))),0)</f>
        <v>4350</v>
      </c>
      <c r="F50" s="34">
        <f ca="1">($E$14-SUM($D$28:D49))*$F$6/365*(C50-C49)</f>
        <v>0.15412301056352659</v>
      </c>
      <c r="G50" s="185">
        <f t="shared" ca="1" si="2"/>
        <v>10600.651062463743</v>
      </c>
      <c r="H50" s="186"/>
      <c r="I50" s="3"/>
    </row>
    <row r="51" spans="1:9" hidden="1" x14ac:dyDescent="0.25">
      <c r="A51" s="59">
        <v>25</v>
      </c>
      <c r="B51" s="121">
        <v>23</v>
      </c>
      <c r="C51" s="125">
        <f t="shared" ca="1" si="0"/>
        <v>45518</v>
      </c>
      <c r="D51" s="33">
        <f ca="1">IF(B51&lt;$F$12,$G$15-E51-F51,IF(B51=$F$12,$E$14-SUM($D$28:D50),0))</f>
        <v>6250.5448884318566</v>
      </c>
      <c r="E51" s="34">
        <f>IF(B51&lt;=$F$12,(E$14*(VLOOKUP($H$1,Лист2!$A:$N,12,0)-(B51-1)*VLOOKUP($H$1,Лист2!$A:$N,13,0))),0)</f>
        <v>4350</v>
      </c>
      <c r="F51" s="34">
        <f ca="1">($E$14-SUM($D$28:D50))*$F$6/365*(C51-C50)</f>
        <v>0.10617403188649842</v>
      </c>
      <c r="G51" s="185">
        <f t="shared" ca="1" si="2"/>
        <v>10600.651062463745</v>
      </c>
      <c r="H51" s="186"/>
      <c r="I51" s="3"/>
    </row>
    <row r="52" spans="1:9" hidden="1" x14ac:dyDescent="0.25">
      <c r="A52" s="59"/>
      <c r="B52" s="121">
        <v>24</v>
      </c>
      <c r="C52" s="125">
        <f t="shared" ca="1" si="0"/>
        <v>45549</v>
      </c>
      <c r="D52" s="33">
        <f ca="1">IF(B52&lt;$F$12,$G$15-E52-F52,IF(B52=$F$12,$E$14-SUM($D$28:D51),0))</f>
        <v>6250.5911240107089</v>
      </c>
      <c r="E52" s="34">
        <f>IF(B52&lt;=$F$12,(E$14*(VLOOKUP($H$1,Лист2!$A:$N,12,0)-(B52-1)*VLOOKUP($H$1,Лист2!$A:$N,13,0))),0)</f>
        <v>4350</v>
      </c>
      <c r="F52" s="34">
        <f ca="1">($E$14-SUM($D$28:D51))*$F$6/365*(C52-C51)</f>
        <v>5.3087212286118353E-2</v>
      </c>
      <c r="G52" s="185">
        <f t="shared" ca="1" si="2"/>
        <v>10600.644211222994</v>
      </c>
      <c r="H52" s="186"/>
      <c r="I52" s="3"/>
    </row>
    <row r="53" spans="1:9" ht="13.8" hidden="1" thickBot="1" x14ac:dyDescent="0.3">
      <c r="A53" s="59"/>
      <c r="B53" s="121"/>
      <c r="C53" s="125"/>
      <c r="D53" s="33"/>
      <c r="E53" s="34"/>
      <c r="F53" s="34"/>
      <c r="G53" s="212"/>
      <c r="H53" s="213"/>
      <c r="I53" s="126"/>
    </row>
    <row r="54" spans="1:9" ht="16.2" hidden="1" thickBot="1" x14ac:dyDescent="0.3">
      <c r="A54" s="59"/>
      <c r="B54" s="214" t="s">
        <v>1</v>
      </c>
      <c r="C54" s="215"/>
      <c r="D54" s="109">
        <f ca="1">SUM(D29:D53)</f>
        <v>150000</v>
      </c>
      <c r="E54" s="109">
        <f>SUM(E29:E53)</f>
        <v>104400</v>
      </c>
      <c r="F54" s="120">
        <f ca="1">SUM(F29:F53)</f>
        <v>15.618647889053731</v>
      </c>
      <c r="G54" s="209">
        <f ca="1">SUM(G29:H53)</f>
        <v>254415.618647889</v>
      </c>
      <c r="H54" s="210"/>
      <c r="I54" s="126"/>
    </row>
    <row r="55" spans="1:9" x14ac:dyDescent="0.25">
      <c r="A55" s="59"/>
      <c r="B55" s="2"/>
      <c r="C55" s="2"/>
      <c r="D55" s="2"/>
      <c r="E55" s="2"/>
      <c r="F55" s="2"/>
      <c r="G55" s="48"/>
      <c r="I55" s="126"/>
    </row>
    <row r="56" spans="1:9" x14ac:dyDescent="0.25">
      <c r="A56" s="59"/>
      <c r="B56" s="2"/>
      <c r="C56" s="35"/>
      <c r="D56" s="36"/>
      <c r="E56" s="211" t="s">
        <v>8</v>
      </c>
      <c r="F56" s="211"/>
      <c r="G56" s="211"/>
      <c r="I56" s="126"/>
    </row>
    <row r="57" spans="1:9" x14ac:dyDescent="0.25">
      <c r="A57" s="59"/>
      <c r="B57" s="2"/>
      <c r="C57" s="37"/>
      <c r="D57" s="2"/>
      <c r="E57" s="38" t="s">
        <v>9</v>
      </c>
      <c r="F57" s="39"/>
      <c r="G57" s="52"/>
      <c r="I57" s="126"/>
    </row>
    <row r="58" spans="1:9" x14ac:dyDescent="0.25">
      <c r="A58" s="59"/>
      <c r="B58" s="60"/>
      <c r="C58" s="60"/>
      <c r="D58" s="60"/>
      <c r="E58" s="60"/>
      <c r="F58" s="60"/>
      <c r="G58" s="127"/>
      <c r="H58" s="61"/>
      <c r="I58" s="126"/>
    </row>
    <row r="59" spans="1:9" x14ac:dyDescent="0.25">
      <c r="A59" s="59"/>
      <c r="B59" s="60"/>
      <c r="C59" s="60"/>
      <c r="D59" s="60"/>
      <c r="E59" s="60"/>
      <c r="F59" s="60"/>
      <c r="G59" s="127"/>
      <c r="H59" s="61"/>
      <c r="I59" s="62"/>
    </row>
    <row r="60" spans="1:9" x14ac:dyDescent="0.25">
      <c r="A60" s="59"/>
      <c r="B60" s="60"/>
      <c r="C60" s="60"/>
      <c r="D60" s="60"/>
      <c r="E60" s="60"/>
      <c r="F60" s="60"/>
      <c r="G60" s="127"/>
      <c r="H60" s="61"/>
      <c r="I60" s="62"/>
    </row>
    <row r="61" spans="1:9" x14ac:dyDescent="0.25">
      <c r="A61" s="59"/>
      <c r="B61" s="60"/>
      <c r="C61" s="60"/>
      <c r="D61" s="60"/>
      <c r="E61" s="60"/>
      <c r="F61" s="60"/>
      <c r="G61" s="127"/>
      <c r="H61" s="61"/>
      <c r="I61" s="62"/>
    </row>
  </sheetData>
  <sheetProtection password="B631" sheet="1" objects="1" scenarios="1" selectLockedCells="1"/>
  <dataConsolidate/>
  <mergeCells count="47">
    <mergeCell ref="E56:G56"/>
    <mergeCell ref="G50:H50"/>
    <mergeCell ref="G51:H51"/>
    <mergeCell ref="G53:H53"/>
    <mergeCell ref="B54:C54"/>
    <mergeCell ref="G46:H46"/>
    <mergeCell ref="G47:H47"/>
    <mergeCell ref="G48:H48"/>
    <mergeCell ref="G52:H52"/>
    <mergeCell ref="G54:H54"/>
    <mergeCell ref="G49:H49"/>
    <mergeCell ref="G43:H43"/>
    <mergeCell ref="G44:H44"/>
    <mergeCell ref="G45:H45"/>
    <mergeCell ref="G40:H40"/>
    <mergeCell ref="G41:H41"/>
    <mergeCell ref="G42:H42"/>
    <mergeCell ref="H1:I1"/>
    <mergeCell ref="F2:F3"/>
    <mergeCell ref="H2:I2"/>
    <mergeCell ref="G37:H37"/>
    <mergeCell ref="G38:H38"/>
    <mergeCell ref="G34:H34"/>
    <mergeCell ref="G35:H35"/>
    <mergeCell ref="G36:H36"/>
    <mergeCell ref="G28:H28"/>
    <mergeCell ref="G31:H31"/>
    <mergeCell ref="G32:H32"/>
    <mergeCell ref="G33:H33"/>
    <mergeCell ref="B4:E4"/>
    <mergeCell ref="B6:E6"/>
    <mergeCell ref="B10:E10"/>
    <mergeCell ref="B8:E8"/>
    <mergeCell ref="B12:E12"/>
    <mergeCell ref="B15:E15"/>
    <mergeCell ref="B17:E17"/>
    <mergeCell ref="B19:C19"/>
    <mergeCell ref="B20:C20"/>
    <mergeCell ref="G39:H39"/>
    <mergeCell ref="B21:C21"/>
    <mergeCell ref="G29:H29"/>
    <mergeCell ref="G30:H30"/>
    <mergeCell ref="B22:C22"/>
    <mergeCell ref="B23:C23"/>
    <mergeCell ref="B26:H26"/>
    <mergeCell ref="B27:C27"/>
    <mergeCell ref="G27:H27"/>
  </mergeCell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Лист2!$A$6</xm:f>
          </x14:formula1>
          <xm:sqref>H1:I1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2"/>
  <sheetViews>
    <sheetView zoomScale="85" zoomScaleNormal="85" workbookViewId="0">
      <selection activeCell="B7" sqref="B7"/>
    </sheetView>
  </sheetViews>
  <sheetFormatPr defaultColWidth="9.109375" defaultRowHeight="13.2" x14ac:dyDescent="0.25"/>
  <cols>
    <col min="1" max="1" width="31" style="132" customWidth="1"/>
    <col min="2" max="2" width="11.44140625" style="132" customWidth="1"/>
    <col min="3" max="4" width="9.109375" style="132"/>
    <col min="5" max="5" width="17.33203125" style="132" customWidth="1"/>
    <col min="6" max="6" width="16.88671875" style="132" customWidth="1"/>
    <col min="7" max="7" width="15.6640625" style="132" customWidth="1"/>
    <col min="8" max="8" width="10.5546875" style="132" customWidth="1"/>
    <col min="9" max="10" width="9.109375" style="132" customWidth="1"/>
    <col min="11" max="13" width="17.5546875" style="132" customWidth="1"/>
    <col min="14" max="14" width="25.33203125" style="132" customWidth="1"/>
    <col min="15" max="16384" width="9.109375" style="132"/>
  </cols>
  <sheetData>
    <row r="1" spans="1:16" x14ac:dyDescent="0.25">
      <c r="B1" s="132" t="s">
        <v>25</v>
      </c>
      <c r="C1" s="132" t="s">
        <v>26</v>
      </c>
      <c r="D1" s="132" t="s">
        <v>27</v>
      </c>
      <c r="E1" s="132" t="s">
        <v>43</v>
      </c>
      <c r="F1" s="132" t="s">
        <v>28</v>
      </c>
      <c r="J1" s="132" t="s">
        <v>17</v>
      </c>
      <c r="K1" s="132" t="s">
        <v>0</v>
      </c>
      <c r="L1" s="132" t="s">
        <v>36</v>
      </c>
      <c r="M1" s="132" t="s">
        <v>37</v>
      </c>
      <c r="N1" s="132" t="s">
        <v>44</v>
      </c>
    </row>
    <row r="2" spans="1:16" x14ac:dyDescent="0.25">
      <c r="D2" s="133"/>
      <c r="E2" s="133"/>
      <c r="F2" s="133"/>
      <c r="H2" s="132" t="s">
        <v>30</v>
      </c>
      <c r="I2" s="132" t="s">
        <v>29</v>
      </c>
      <c r="K2" s="134"/>
      <c r="L2" s="134"/>
      <c r="M2" s="134"/>
    </row>
    <row r="3" spans="1:16" x14ac:dyDescent="0.25">
      <c r="A3" s="132">
        <v>1</v>
      </c>
      <c r="B3" s="132">
        <v>2</v>
      </c>
      <c r="C3" s="132">
        <v>3</v>
      </c>
      <c r="D3" s="132">
        <v>4</v>
      </c>
      <c r="E3" s="132">
        <v>5</v>
      </c>
      <c r="F3" s="132">
        <v>6</v>
      </c>
      <c r="G3" s="132">
        <v>7</v>
      </c>
      <c r="H3" s="132">
        <v>8</v>
      </c>
      <c r="I3" s="132">
        <v>9</v>
      </c>
      <c r="J3" s="132">
        <v>10</v>
      </c>
      <c r="K3" s="132">
        <v>11</v>
      </c>
      <c r="L3" s="132">
        <v>12</v>
      </c>
      <c r="M3" s="132">
        <v>13</v>
      </c>
      <c r="N3" s="132">
        <v>14</v>
      </c>
    </row>
    <row r="4" spans="1:16" s="141" customFormat="1" x14ac:dyDescent="0.25">
      <c r="D4" s="142"/>
      <c r="E4" s="142"/>
      <c r="F4" s="142"/>
      <c r="K4" s="143"/>
      <c r="L4" s="144"/>
      <c r="M4" s="145"/>
    </row>
    <row r="5" spans="1:16" s="141" customFormat="1" x14ac:dyDescent="0.25">
      <c r="D5" s="142"/>
      <c r="E5" s="142"/>
      <c r="F5" s="142"/>
      <c r="K5" s="143"/>
      <c r="L5" s="144"/>
      <c r="M5" s="145"/>
    </row>
    <row r="6" spans="1:16" s="141" customFormat="1" ht="17.399999999999999" x14ac:dyDescent="0.3">
      <c r="A6" s="159" t="s">
        <v>42</v>
      </c>
      <c r="B6" s="141">
        <v>150000</v>
      </c>
      <c r="C6" s="141">
        <v>24</v>
      </c>
      <c r="D6" s="142">
        <v>1E-4</v>
      </c>
      <c r="E6" s="142">
        <v>1.0999999999999999E-2</v>
      </c>
      <c r="F6" s="142">
        <v>2.9000000000000001E-2</v>
      </c>
      <c r="G6" s="141" t="str">
        <f t="shared" ref="G6" si="0">I$2&amp;" "&amp;B6&amp;" "&amp;H$2</f>
        <v>max. 150000 грн.</v>
      </c>
      <c r="H6" s="141">
        <f>B6</f>
        <v>150000</v>
      </c>
      <c r="J6" s="141">
        <v>1</v>
      </c>
      <c r="K6" s="143">
        <f>D6/12/(1-1/POWER(1+D6/12,C6))*H6+H6*F6</f>
        <v>10600.651062430643</v>
      </c>
      <c r="L6" s="144">
        <f>F6</f>
        <v>2.9000000000000001E-2</v>
      </c>
      <c r="M6" s="145">
        <v>0</v>
      </c>
      <c r="N6" s="141">
        <f>B6*E6</f>
        <v>1650</v>
      </c>
      <c r="P6" s="146"/>
    </row>
    <row r="7" spans="1:16" s="141" customFormat="1" x14ac:dyDescent="0.25">
      <c r="D7" s="142"/>
      <c r="E7" s="142"/>
      <c r="F7" s="142"/>
      <c r="K7" s="143"/>
      <c r="L7" s="144"/>
      <c r="M7" s="145"/>
      <c r="P7" s="146"/>
    </row>
    <row r="8" spans="1:16" s="141" customFormat="1" x14ac:dyDescent="0.25">
      <c r="D8" s="142"/>
      <c r="E8" s="142"/>
      <c r="F8" s="142"/>
      <c r="K8" s="143"/>
      <c r="L8" s="144"/>
      <c r="M8" s="145"/>
    </row>
    <row r="9" spans="1:16" s="147" customFormat="1" x14ac:dyDescent="0.25">
      <c r="D9" s="148"/>
      <c r="E9" s="148"/>
      <c r="F9" s="148"/>
      <c r="K9" s="149"/>
      <c r="L9" s="150"/>
      <c r="M9" s="151"/>
    </row>
    <row r="10" spans="1:16" s="147" customFormat="1" x14ac:dyDescent="0.25">
      <c r="D10" s="148"/>
      <c r="E10" s="148"/>
      <c r="F10" s="148"/>
      <c r="K10" s="149"/>
      <c r="L10" s="150"/>
      <c r="M10" s="151"/>
    </row>
    <row r="11" spans="1:16" s="147" customFormat="1" x14ac:dyDescent="0.25">
      <c r="D11" s="148"/>
      <c r="E11" s="148"/>
      <c r="F11" s="148"/>
      <c r="K11" s="149"/>
      <c r="L11" s="150"/>
      <c r="M11" s="151"/>
    </row>
    <row r="12" spans="1:16" s="147" customFormat="1" x14ac:dyDescent="0.25">
      <c r="D12" s="148"/>
      <c r="E12" s="148"/>
      <c r="F12" s="148"/>
      <c r="K12" s="149"/>
      <c r="L12" s="150"/>
      <c r="M12" s="151"/>
    </row>
    <row r="13" spans="1:16" s="147" customFormat="1" x14ac:dyDescent="0.25">
      <c r="D13" s="148"/>
      <c r="E13" s="148"/>
      <c r="F13" s="148"/>
      <c r="K13" s="149"/>
      <c r="L13" s="150"/>
      <c r="M13" s="151"/>
    </row>
    <row r="14" spans="1:16" s="152" customFormat="1" x14ac:dyDescent="0.25">
      <c r="D14" s="153"/>
      <c r="E14" s="153"/>
      <c r="F14" s="153"/>
      <c r="K14" s="154"/>
      <c r="L14" s="155"/>
      <c r="M14" s="156"/>
    </row>
    <row r="15" spans="1:16" s="152" customFormat="1" x14ac:dyDescent="0.25">
      <c r="D15" s="153"/>
      <c r="E15" s="153"/>
      <c r="F15" s="153"/>
      <c r="K15" s="154"/>
      <c r="L15" s="155"/>
      <c r="M15" s="156"/>
    </row>
    <row r="16" spans="1:16" s="152" customFormat="1" x14ac:dyDescent="0.25">
      <c r="D16" s="153"/>
      <c r="E16" s="153"/>
      <c r="F16" s="153"/>
      <c r="K16" s="154"/>
      <c r="L16" s="155"/>
      <c r="M16" s="156"/>
    </row>
    <row r="17" spans="1:14" s="152" customFormat="1" x14ac:dyDescent="0.25">
      <c r="D17" s="153"/>
      <c r="E17" s="153"/>
      <c r="F17" s="153"/>
      <c r="K17" s="154"/>
      <c r="L17" s="155"/>
      <c r="M17" s="156"/>
    </row>
    <row r="18" spans="1:14" s="152" customFormat="1" x14ac:dyDescent="0.25">
      <c r="D18" s="153"/>
      <c r="E18" s="153"/>
      <c r="F18" s="153"/>
      <c r="K18" s="154"/>
      <c r="L18" s="155"/>
      <c r="M18" s="156"/>
    </row>
    <row r="19" spans="1:14" x14ac:dyDescent="0.25">
      <c r="A19" s="135"/>
      <c r="B19" s="135"/>
      <c r="C19" s="135"/>
      <c r="D19" s="136"/>
      <c r="E19" s="136"/>
      <c r="F19" s="136"/>
      <c r="G19" s="135"/>
      <c r="H19" s="135"/>
      <c r="I19" s="135"/>
      <c r="J19" s="135"/>
      <c r="K19" s="137"/>
      <c r="L19" s="139"/>
      <c r="M19" s="138"/>
      <c r="N19" s="135"/>
    </row>
    <row r="20" spans="1:14" x14ac:dyDescent="0.25">
      <c r="A20" s="135"/>
      <c r="B20" s="135"/>
      <c r="C20" s="135"/>
      <c r="D20" s="136"/>
      <c r="E20" s="136"/>
      <c r="F20" s="136"/>
      <c r="G20" s="135"/>
      <c r="H20" s="135"/>
      <c r="I20" s="135"/>
      <c r="J20" s="135"/>
      <c r="K20" s="137"/>
      <c r="L20" s="139"/>
      <c r="M20" s="138"/>
      <c r="N20" s="135"/>
    </row>
    <row r="21" spans="1:14" x14ac:dyDescent="0.25">
      <c r="A21" s="135"/>
      <c r="B21" s="135"/>
      <c r="C21" s="135"/>
      <c r="D21" s="136"/>
      <c r="E21" s="136"/>
      <c r="F21" s="136"/>
      <c r="G21" s="135"/>
      <c r="H21" s="135"/>
      <c r="I21" s="135"/>
      <c r="J21" s="135"/>
      <c r="K21" s="137"/>
      <c r="L21" s="139"/>
      <c r="M21" s="138"/>
      <c r="N21" s="135"/>
    </row>
    <row r="22" spans="1:14" x14ac:dyDescent="0.25">
      <c r="A22" s="135"/>
      <c r="B22" s="135"/>
      <c r="C22" s="135"/>
      <c r="D22" s="136"/>
      <c r="E22" s="136"/>
      <c r="F22" s="136"/>
      <c r="G22" s="135"/>
      <c r="H22" s="135"/>
      <c r="I22" s="135"/>
      <c r="J22" s="135"/>
      <c r="K22" s="137"/>
      <c r="L22" s="139"/>
      <c r="M22" s="138"/>
      <c r="N22" s="13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1"/>
  <sheetViews>
    <sheetView zoomScale="70" zoomScaleNormal="70" workbookViewId="0">
      <selection activeCell="A12" sqref="A12:D12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21" t="s">
        <v>18</v>
      </c>
      <c r="B1" s="222"/>
      <c r="C1" s="222"/>
      <c r="D1" s="223"/>
      <c r="E1" s="71">
        <v>5000</v>
      </c>
      <c r="F1" s="72" t="s">
        <v>13</v>
      </c>
      <c r="G1" s="72" t="s">
        <v>12</v>
      </c>
      <c r="H1" s="73"/>
    </row>
    <row r="2" spans="1:8" x14ac:dyDescent="0.25">
      <c r="A2" s="74"/>
      <c r="B2" s="5"/>
      <c r="C2" s="74"/>
      <c r="D2" s="5"/>
      <c r="E2" s="75"/>
      <c r="F2" s="76"/>
      <c r="G2" s="77"/>
      <c r="H2" s="5"/>
    </row>
    <row r="3" spans="1:8" x14ac:dyDescent="0.25">
      <c r="A3" s="216" t="s">
        <v>4</v>
      </c>
      <c r="B3" s="217"/>
      <c r="C3" s="217"/>
      <c r="D3" s="218"/>
      <c r="E3" s="10"/>
      <c r="F3" s="11"/>
      <c r="G3" s="10"/>
      <c r="H3" s="73"/>
    </row>
    <row r="4" spans="1:8" x14ac:dyDescent="0.25">
      <c r="A4" s="74"/>
      <c r="B4" s="5"/>
      <c r="C4" s="74"/>
      <c r="D4" s="5"/>
      <c r="E4" s="79"/>
      <c r="F4" s="76"/>
      <c r="G4" s="77"/>
      <c r="H4" s="5"/>
    </row>
    <row r="5" spans="1:8" x14ac:dyDescent="0.25">
      <c r="A5" s="216" t="s">
        <v>21</v>
      </c>
      <c r="B5" s="217"/>
      <c r="C5" s="217"/>
      <c r="D5" s="218"/>
      <c r="E5" s="10"/>
      <c r="F5" s="11"/>
      <c r="G5" s="11"/>
      <c r="H5" s="73"/>
    </row>
    <row r="6" spans="1:8" x14ac:dyDescent="0.25">
      <c r="A6" s="74"/>
      <c r="B6" s="5"/>
      <c r="C6" s="74"/>
      <c r="D6" s="5"/>
      <c r="E6" s="80"/>
      <c r="F6" s="76"/>
      <c r="G6" s="77"/>
      <c r="H6" s="5"/>
    </row>
    <row r="7" spans="1:8" x14ac:dyDescent="0.25">
      <c r="A7" s="216" t="s">
        <v>19</v>
      </c>
      <c r="B7" s="217"/>
      <c r="C7" s="217"/>
      <c r="D7" s="218"/>
      <c r="E7" s="10"/>
      <c r="F7" s="11"/>
      <c r="G7" s="11"/>
      <c r="H7" s="73"/>
    </row>
    <row r="8" spans="1:8" x14ac:dyDescent="0.25">
      <c r="A8" s="74"/>
      <c r="B8" s="5"/>
      <c r="C8" s="74"/>
      <c r="D8" s="5"/>
      <c r="E8" s="79"/>
      <c r="F8" s="76"/>
      <c r="G8" s="77"/>
      <c r="H8" s="5"/>
    </row>
    <row r="9" spans="1:8" x14ac:dyDescent="0.25">
      <c r="A9" s="216" t="s">
        <v>3</v>
      </c>
      <c r="B9" s="217"/>
      <c r="C9" s="217"/>
      <c r="D9" s="218"/>
      <c r="E9" s="81"/>
      <c r="F9" s="11"/>
      <c r="G9" s="11"/>
      <c r="H9" s="73"/>
    </row>
    <row r="10" spans="1:8" x14ac:dyDescent="0.25">
      <c r="A10" s="82"/>
      <c r="B10" s="14"/>
      <c r="C10" s="82"/>
      <c r="D10" s="83"/>
      <c r="E10" s="55"/>
      <c r="F10" s="76"/>
      <c r="G10" s="84"/>
      <c r="H10" s="14"/>
    </row>
    <row r="11" spans="1:8" x14ac:dyDescent="0.25">
      <c r="A11" s="82"/>
      <c r="B11" s="14"/>
      <c r="C11" s="82"/>
      <c r="D11" s="85"/>
      <c r="E11" s="55"/>
      <c r="F11" s="76"/>
      <c r="G11" s="86"/>
      <c r="H11" s="14"/>
    </row>
    <row r="12" spans="1:8" x14ac:dyDescent="0.25">
      <c r="A12" s="216" t="s">
        <v>38</v>
      </c>
      <c r="B12" s="217"/>
      <c r="C12" s="217"/>
      <c r="D12" s="218"/>
      <c r="E12" s="15"/>
      <c r="F12" s="15"/>
      <c r="G12" s="16"/>
      <c r="H12" s="14"/>
    </row>
    <row r="13" spans="1:8" x14ac:dyDescent="0.25">
      <c r="A13" s="57"/>
      <c r="B13" s="57"/>
      <c r="C13" s="57"/>
      <c r="D13" s="57"/>
      <c r="E13" s="87"/>
      <c r="F13" s="88"/>
      <c r="G13" s="89"/>
      <c r="H13" s="14"/>
    </row>
    <row r="14" spans="1:8" x14ac:dyDescent="0.25">
      <c r="A14" s="216" t="s">
        <v>39</v>
      </c>
      <c r="B14" s="217"/>
      <c r="C14" s="217"/>
      <c r="D14" s="218"/>
      <c r="E14" s="69"/>
      <c r="F14" s="70"/>
      <c r="G14" s="16"/>
      <c r="H14" s="14"/>
    </row>
    <row r="15" spans="1:8" x14ac:dyDescent="0.25">
      <c r="A15" s="78"/>
      <c r="B15" s="78"/>
      <c r="C15" s="78"/>
      <c r="D15" s="78"/>
      <c r="E15" s="90"/>
      <c r="F15" s="88"/>
      <c r="G15" s="89"/>
      <c r="H15" s="14"/>
    </row>
    <row r="16" spans="1:8" x14ac:dyDescent="0.25">
      <c r="A16" s="216" t="s">
        <v>40</v>
      </c>
      <c r="B16" s="217"/>
      <c r="C16" s="217"/>
      <c r="D16" s="218"/>
      <c r="E16" s="21"/>
      <c r="F16" s="11"/>
      <c r="G16" s="11"/>
      <c r="H16" s="14"/>
    </row>
    <row r="17" spans="1:8" x14ac:dyDescent="0.25">
      <c r="A17" s="57"/>
      <c r="B17" s="57"/>
      <c r="C17" s="57"/>
      <c r="D17" s="57"/>
      <c r="E17" s="91"/>
      <c r="F17" s="88"/>
      <c r="G17" s="89"/>
      <c r="H17" s="14"/>
    </row>
    <row r="18" spans="1:8" ht="30.6" x14ac:dyDescent="0.25">
      <c r="A18" s="219" t="s">
        <v>10</v>
      </c>
      <c r="B18" s="220"/>
      <c r="C18" s="92" t="s">
        <v>0</v>
      </c>
      <c r="D18" s="93" t="s">
        <v>32</v>
      </c>
      <c r="E18" s="94" t="s">
        <v>15</v>
      </c>
      <c r="F18" s="94" t="s">
        <v>14</v>
      </c>
      <c r="G18" s="94" t="s">
        <v>16</v>
      </c>
      <c r="H18" s="94" t="s">
        <v>31</v>
      </c>
    </row>
    <row r="19" spans="1:8" x14ac:dyDescent="0.25">
      <c r="A19" s="183" t="s">
        <v>24</v>
      </c>
      <c r="B19" s="184"/>
      <c r="C19" s="50">
        <f>IF(ISERROR(L16),"",L16)</f>
        <v>0</v>
      </c>
      <c r="D19" s="50">
        <f>IF(ISERROR(L12),"",L12)</f>
        <v>0</v>
      </c>
      <c r="E19" s="66">
        <f>IF(ISERROR(L14),"",L14)</f>
        <v>0</v>
      </c>
      <c r="F19" s="24" t="str">
        <f>IF(ISERROR(D19/#REF!),"",D19/#REF!)</f>
        <v/>
      </c>
      <c r="G19" s="25" t="str">
        <f>IF(ISERROR(D19/#REF!/F$3),"",D19/#REF!/F$3)</f>
        <v/>
      </c>
      <c r="H19" s="25" t="str">
        <f>IF(ISERROR(C19/F$3),"",C19/F$3)</f>
        <v/>
      </c>
    </row>
    <row r="20" spans="1:8" x14ac:dyDescent="0.25">
      <c r="A20" s="183" t="s">
        <v>11</v>
      </c>
      <c r="B20" s="184"/>
      <c r="C20" s="51">
        <f>IF(ISERROR(M16),"",M16)</f>
        <v>0</v>
      </c>
      <c r="D20" s="51">
        <f>IF(ISERROR(M12),"",M12)</f>
        <v>0</v>
      </c>
      <c r="E20" s="67">
        <f>IF(ISERROR(M14),"",M14)</f>
        <v>0</v>
      </c>
      <c r="F20" s="24" t="str">
        <f>IF(ISERROR(D20/#REF!),"",D20/#REF!)</f>
        <v/>
      </c>
      <c r="G20" s="25" t="str">
        <f>IF(ISERROR(D20/#REF!/F$3),"",D20/#REF!/F$3)</f>
        <v/>
      </c>
      <c r="H20" s="25" t="str">
        <f>IF(ISERROR(C20/F$3),"",C20/F$3)</f>
        <v/>
      </c>
    </row>
    <row r="21" spans="1:8" x14ac:dyDescent="0.25">
      <c r="A21" s="183" t="s">
        <v>22</v>
      </c>
      <c r="B21" s="184"/>
      <c r="C21" s="51">
        <f>IF(ISERROR(N16),"",N16)</f>
        <v>0</v>
      </c>
      <c r="D21" s="51">
        <f>IF(ISERROR(N12),"",N12)</f>
        <v>0</v>
      </c>
      <c r="E21" s="67">
        <f>IF(ISERROR(N14),"",N14)</f>
        <v>0</v>
      </c>
      <c r="F21" s="24" t="str">
        <f>IF(ISERROR(D21/#REF!),"",D21/#REF!)</f>
        <v/>
      </c>
      <c r="G21" s="25" t="str">
        <f>IF(ISERROR(D21/#REF!/F$3),"",D21/#REF!/F$3)</f>
        <v/>
      </c>
      <c r="H21" s="25" t="str">
        <f>IF(ISERROR(C21/F$3),"",C21/F$3)</f>
        <v/>
      </c>
    </row>
    <row r="22" spans="1:8" x14ac:dyDescent="0.25">
      <c r="A22" s="183" t="s">
        <v>23</v>
      </c>
      <c r="B22" s="184"/>
      <c r="C22" s="51">
        <f>IF(ISERROR(O16),"",O16)</f>
        <v>0</v>
      </c>
      <c r="D22" s="51">
        <f>IF(ISERROR(O12),"",O12)</f>
        <v>0</v>
      </c>
      <c r="E22" s="67">
        <f>IF(ISERROR(O14),"",O14)</f>
        <v>0</v>
      </c>
      <c r="F22" s="24" t="str">
        <f>IF(ISERROR(D22/#REF!),"",D22/#REF!)</f>
        <v/>
      </c>
      <c r="G22" s="25" t="str">
        <f>IF(ISERROR(D22/#REF!/F$3),"",D22/#REF!/F$3)</f>
        <v/>
      </c>
      <c r="H22" s="25" t="str">
        <f>IF(ISERROR(C22/F$3),"",C22/F$3)</f>
        <v/>
      </c>
    </row>
    <row r="23" spans="1:8" x14ac:dyDescent="0.25">
      <c r="A23" s="74"/>
      <c r="B23" s="57"/>
      <c r="C23" s="74"/>
      <c r="D23" s="95"/>
      <c r="E23" s="96"/>
      <c r="F23" s="97"/>
      <c r="G23" s="76"/>
      <c r="H23" s="9"/>
    </row>
    <row r="24" spans="1:8" ht="13.8" thickBot="1" x14ac:dyDescent="0.3">
      <c r="A24" s="98"/>
      <c r="B24" s="57"/>
      <c r="C24" s="98"/>
      <c r="D24" s="99"/>
      <c r="E24" s="100"/>
      <c r="F24" s="89"/>
      <c r="G24" s="88"/>
      <c r="H24" s="14"/>
    </row>
    <row r="25" spans="1:8" ht="18" thickBot="1" x14ac:dyDescent="0.3">
      <c r="A25" s="225" t="s">
        <v>41</v>
      </c>
      <c r="B25" s="226"/>
      <c r="C25" s="226"/>
      <c r="D25" s="226"/>
      <c r="E25" s="226"/>
      <c r="F25" s="226"/>
      <c r="G25" s="227"/>
      <c r="H25" s="73"/>
    </row>
    <row r="26" spans="1:8" ht="41.4" thickBot="1" x14ac:dyDescent="0.3">
      <c r="A26" s="228" t="s">
        <v>2</v>
      </c>
      <c r="B26" s="229"/>
      <c r="C26" s="101" t="s">
        <v>6</v>
      </c>
      <c r="D26" s="101" t="s">
        <v>20</v>
      </c>
      <c r="E26" s="101" t="s">
        <v>7</v>
      </c>
      <c r="F26" s="230" t="s">
        <v>5</v>
      </c>
      <c r="G26" s="231"/>
      <c r="H26" s="73"/>
    </row>
    <row r="27" spans="1:8" x14ac:dyDescent="0.25">
      <c r="A27" s="5"/>
      <c r="B27" s="5"/>
      <c r="C27" s="5"/>
      <c r="D27" s="5"/>
      <c r="E27" s="5"/>
      <c r="F27" s="77"/>
      <c r="G27" s="76"/>
      <c r="H27" s="73"/>
    </row>
    <row r="28" spans="1:8" x14ac:dyDescent="0.25">
      <c r="A28" s="5" t="s">
        <v>8</v>
      </c>
      <c r="B28" s="102"/>
      <c r="C28" s="103"/>
      <c r="D28" s="224"/>
      <c r="E28" s="224"/>
      <c r="F28" s="224"/>
      <c r="G28" s="76"/>
      <c r="H28" s="73"/>
    </row>
    <row r="29" spans="1:8" x14ac:dyDescent="0.25">
      <c r="A29" s="5" t="s">
        <v>9</v>
      </c>
      <c r="B29" s="104"/>
      <c r="C29" s="5"/>
      <c r="D29" s="43"/>
      <c r="E29" s="44"/>
      <c r="F29" s="105"/>
      <c r="G29" s="76"/>
      <c r="H29" s="73"/>
    </row>
    <row r="30" spans="1:8" x14ac:dyDescent="0.25">
      <c r="A30" s="42"/>
      <c r="B30" s="42"/>
      <c r="C30" s="42"/>
      <c r="D30" s="42"/>
      <c r="E30" s="42"/>
      <c r="F30" s="42"/>
      <c r="G30" s="42"/>
      <c r="H30" s="42"/>
    </row>
    <row r="31" spans="1:8" x14ac:dyDescent="0.25">
      <c r="A31" t="s">
        <v>33</v>
      </c>
      <c r="B31">
        <v>30.4</v>
      </c>
    </row>
  </sheetData>
  <sheetProtection password="C9F2" sheet="1" objects="1" scenarios="1"/>
  <mergeCells count="17">
    <mergeCell ref="A19:B19"/>
    <mergeCell ref="A20:B20"/>
    <mergeCell ref="D28:F28"/>
    <mergeCell ref="A22:B22"/>
    <mergeCell ref="A25:G25"/>
    <mergeCell ref="A26:B26"/>
    <mergeCell ref="F26:G26"/>
    <mergeCell ref="A21:B21"/>
    <mergeCell ref="A12:D12"/>
    <mergeCell ref="A14:D14"/>
    <mergeCell ref="A16:D16"/>
    <mergeCell ref="A18:B18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КРЕДИТ НА ПІДТРИМКУ БІЗНЕСУ ФОП</vt:lpstr>
      <vt:lpstr>Лист2</vt:lpstr>
      <vt:lpstr>Назви</vt:lpstr>
      <vt:lpstr>'КРЕДИТ НА ПІДТРИМКУ БІЗНЕСУ ФОП'!Область_печати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Крупська Наталія</cp:lastModifiedBy>
  <cp:lastPrinted>2022-05-03T16:00:54Z</cp:lastPrinted>
  <dcterms:created xsi:type="dcterms:W3CDTF">2008-03-13T06:51:50Z</dcterms:created>
  <dcterms:modified xsi:type="dcterms:W3CDTF">2022-09-14T11:13:03Z</dcterms:modified>
</cp:coreProperties>
</file>