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63"/>
  </bookViews>
  <sheets>
    <sheet name="Зустрічна пропозиція" sheetId="186" r:id="rId1"/>
    <sheet name="Лист2" sheetId="165" r:id="rId2"/>
    <sheet name="Назви" sheetId="161" state="hidden" r:id="rId3"/>
  </sheets>
  <definedNames>
    <definedName name="_xlnm._FilterDatabase" localSheetId="0" hidden="1">'Зустрічна пропозиція'!$A$29:$H$91</definedName>
    <definedName name="_xlnm.Print_Area" localSheetId="0">'Зустрічна пропозиція'!$A$1:$J$94</definedName>
  </definedNames>
  <calcPr calcId="145621"/>
</workbook>
</file>

<file path=xl/calcChain.xml><?xml version="1.0" encoding="utf-8"?>
<calcChain xmlns="http://schemas.openxmlformats.org/spreadsheetml/2006/main">
  <c r="C30" i="186" l="1"/>
  <c r="F2" i="186" l="1"/>
  <c r="G5" i="165"/>
  <c r="G6" i="165"/>
  <c r="G7" i="165"/>
  <c r="G8" i="165"/>
  <c r="G9" i="165"/>
  <c r="G4" i="165"/>
  <c r="C31" i="186" l="1"/>
  <c r="C32" i="186" s="1"/>
  <c r="C33" i="186" s="1"/>
  <c r="C34" i="186" s="1"/>
  <c r="C35" i="186" s="1"/>
  <c r="C36" i="186" s="1"/>
  <c r="C37" i="186" s="1"/>
  <c r="C38" i="186" s="1"/>
  <c r="C39" i="186" s="1"/>
  <c r="C40" i="186" s="1"/>
  <c r="C41" i="186" s="1"/>
  <c r="C42" i="186" s="1"/>
  <c r="C43" i="186" s="1"/>
  <c r="C44" i="186" s="1"/>
  <c r="C45" i="186" s="1"/>
  <c r="C46" i="186" s="1"/>
  <c r="C47" i="186" s="1"/>
  <c r="C48" i="186" s="1"/>
  <c r="C49" i="186" s="1"/>
  <c r="C50" i="186" s="1"/>
  <c r="C51" i="186" s="1"/>
  <c r="C52" i="186" s="1"/>
  <c r="C53" i="186" s="1"/>
  <c r="C54" i="186" s="1"/>
  <c r="C55" i="186" s="1"/>
  <c r="C56" i="186" s="1"/>
  <c r="C57" i="186" s="1"/>
  <c r="C58" i="186" s="1"/>
  <c r="C59" i="186" s="1"/>
  <c r="C60" i="186" s="1"/>
  <c r="C61" i="186" s="1"/>
  <c r="C62" i="186" s="1"/>
  <c r="C63" i="186" s="1"/>
  <c r="C64" i="186" s="1"/>
  <c r="C65" i="186" s="1"/>
  <c r="C66" i="186" s="1"/>
  <c r="C67" i="186" s="1"/>
  <c r="C68" i="186" s="1"/>
  <c r="C69" i="186" s="1"/>
  <c r="C70" i="186" s="1"/>
  <c r="C71" i="186" s="1"/>
  <c r="C72" i="186" s="1"/>
  <c r="C73" i="186" s="1"/>
  <c r="C74" i="186" s="1"/>
  <c r="C75" i="186" s="1"/>
  <c r="C76" i="186" s="1"/>
  <c r="C77" i="186" s="1"/>
  <c r="C78" i="186" s="1"/>
  <c r="C79" i="186" s="1"/>
  <c r="C80" i="186" s="1"/>
  <c r="C81" i="186" s="1"/>
  <c r="C82" i="186" s="1"/>
  <c r="C83" i="186" s="1"/>
  <c r="C84" i="186" s="1"/>
  <c r="C85" i="186" s="1"/>
  <c r="C86" i="186" s="1"/>
  <c r="C87" i="186" s="1"/>
  <c r="C88" i="186" s="1"/>
  <c r="C89" i="186" s="1"/>
  <c r="C90" i="186" s="1"/>
  <c r="G29" i="186"/>
  <c r="F29" i="186"/>
  <c r="E29" i="186"/>
  <c r="D29" i="186"/>
  <c r="C29" i="186"/>
  <c r="B28" i="186"/>
  <c r="B26" i="186"/>
  <c r="E24" i="186"/>
  <c r="D24" i="186"/>
  <c r="C24" i="186"/>
  <c r="B24" i="186"/>
  <c r="E22" i="186"/>
  <c r="D22" i="186"/>
  <c r="C22" i="186"/>
  <c r="B22" i="186"/>
  <c r="E20" i="186"/>
  <c r="D20" i="186"/>
  <c r="C20" i="186"/>
  <c r="B20" i="186"/>
  <c r="K18" i="186"/>
  <c r="K17" i="186"/>
  <c r="K16" i="186"/>
  <c r="F17" i="186"/>
  <c r="E17" i="186"/>
  <c r="D17" i="186"/>
  <c r="C17" i="186"/>
  <c r="B17" i="186"/>
  <c r="K15" i="186"/>
  <c r="F15" i="186"/>
  <c r="E15" i="186"/>
  <c r="D15" i="186"/>
  <c r="C15" i="186"/>
  <c r="B15" i="186"/>
  <c r="K14" i="186"/>
  <c r="K13" i="186"/>
  <c r="F13" i="186"/>
  <c r="E13" i="186"/>
  <c r="D13" i="186"/>
  <c r="C13" i="186"/>
  <c r="B13" i="186"/>
  <c r="F11" i="186"/>
  <c r="E11" i="186"/>
  <c r="D11" i="186"/>
  <c r="C11" i="186"/>
  <c r="B11" i="186"/>
  <c r="G3" i="186"/>
  <c r="G2" i="186"/>
  <c r="E2" i="186"/>
  <c r="E18" i="186" l="1"/>
  <c r="E19" i="186" s="1"/>
  <c r="F9" i="186" l="1"/>
  <c r="F61" i="186" s="1"/>
  <c r="F52" i="186" l="1"/>
  <c r="F34" i="186"/>
  <c r="F50" i="186"/>
  <c r="F44" i="186"/>
  <c r="F66" i="186"/>
  <c r="F38" i="186"/>
  <c r="F35" i="186"/>
  <c r="F36" i="186"/>
  <c r="F87" i="186"/>
  <c r="F74" i="186"/>
  <c r="E3" i="186"/>
  <c r="G30" i="186" s="1"/>
  <c r="F31" i="186"/>
  <c r="F41" i="186"/>
  <c r="F86" i="186"/>
  <c r="F33" i="186"/>
  <c r="F72" i="186"/>
  <c r="F83" i="186"/>
  <c r="F47" i="186"/>
  <c r="F57" i="186"/>
  <c r="F39" i="186"/>
  <c r="F49" i="186"/>
  <c r="F45" i="186"/>
  <c r="F56" i="186"/>
  <c r="F62" i="186"/>
  <c r="F63" i="186"/>
  <c r="F68" i="186"/>
  <c r="F73" i="186"/>
  <c r="F54" i="186"/>
  <c r="F55" i="186"/>
  <c r="F60" i="186"/>
  <c r="F65" i="186"/>
  <c r="F67" i="186"/>
  <c r="F77" i="186"/>
  <c r="F82" i="186"/>
  <c r="F88" i="186"/>
  <c r="F78" i="186"/>
  <c r="F79" i="186"/>
  <c r="F84" i="186"/>
  <c r="F89" i="186"/>
  <c r="F70" i="186"/>
  <c r="F71" i="186"/>
  <c r="F76" i="186"/>
  <c r="F81" i="186"/>
  <c r="F40" i="186"/>
  <c r="F42" i="186"/>
  <c r="F51" i="186"/>
  <c r="F46" i="186"/>
  <c r="F43" i="186"/>
  <c r="F48" i="186"/>
  <c r="F53" i="186"/>
  <c r="F64" i="186"/>
  <c r="F69" i="186"/>
  <c r="F59" i="186"/>
  <c r="F58" i="186"/>
  <c r="F75" i="186"/>
  <c r="F85" i="186"/>
  <c r="F90" i="186"/>
  <c r="F32" i="186"/>
  <c r="F37" i="186"/>
  <c r="F80" i="186"/>
  <c r="D31" i="186"/>
  <c r="D35" i="186"/>
  <c r="D39" i="186"/>
  <c r="D43" i="186"/>
  <c r="D47" i="186"/>
  <c r="D51" i="186"/>
  <c r="D55" i="186"/>
  <c r="D59" i="186"/>
  <c r="D63" i="186"/>
  <c r="D67" i="186"/>
  <c r="D71" i="186"/>
  <c r="D75" i="186"/>
  <c r="D79" i="186"/>
  <c r="D83" i="186"/>
  <c r="D87" i="186"/>
  <c r="D32" i="186"/>
  <c r="D36" i="186"/>
  <c r="D40" i="186"/>
  <c r="D44" i="186"/>
  <c r="D48" i="186"/>
  <c r="D52" i="186"/>
  <c r="D56" i="186"/>
  <c r="D60" i="186"/>
  <c r="D64" i="186"/>
  <c r="D68" i="186"/>
  <c r="D72" i="186"/>
  <c r="D33" i="186"/>
  <c r="D37" i="186"/>
  <c r="D41" i="186"/>
  <c r="D45" i="186"/>
  <c r="D49" i="186"/>
  <c r="D53" i="186"/>
  <c r="D57" i="186"/>
  <c r="D61" i="186"/>
  <c r="G61" i="186" s="1"/>
  <c r="D65" i="186"/>
  <c r="D69" i="186"/>
  <c r="D73" i="186"/>
  <c r="D77" i="186"/>
  <c r="D81" i="186"/>
  <c r="D85" i="186"/>
  <c r="D89" i="186"/>
  <c r="D34" i="186"/>
  <c r="D38" i="186"/>
  <c r="D42" i="186"/>
  <c r="D46" i="186"/>
  <c r="D50" i="186"/>
  <c r="D54" i="186"/>
  <c r="D58" i="186"/>
  <c r="D62" i="186"/>
  <c r="D66" i="186"/>
  <c r="D70" i="186"/>
  <c r="D74" i="186"/>
  <c r="D76" i="186"/>
  <c r="D84" i="186"/>
  <c r="D90" i="186"/>
  <c r="D78" i="186"/>
  <c r="D86" i="186"/>
  <c r="G86" i="186" s="1"/>
  <c r="D88" i="186"/>
  <c r="D82" i="186"/>
  <c r="D80" i="186"/>
  <c r="F20" i="186"/>
  <c r="G76" i="186" l="1"/>
  <c r="G68" i="186"/>
  <c r="G47" i="186"/>
  <c r="G50" i="186"/>
  <c r="G88" i="186"/>
  <c r="G56" i="186"/>
  <c r="G35" i="186"/>
  <c r="G70" i="186"/>
  <c r="G54" i="186"/>
  <c r="G44" i="186"/>
  <c r="G39" i="186"/>
  <c r="G74" i="186"/>
  <c r="G42" i="186"/>
  <c r="G48" i="186"/>
  <c r="G59" i="186"/>
  <c r="G72" i="186"/>
  <c r="G67" i="186"/>
  <c r="G40" i="186"/>
  <c r="G80" i="186"/>
  <c r="G78" i="186"/>
  <c r="G85" i="186"/>
  <c r="G69" i="186"/>
  <c r="G43" i="186"/>
  <c r="F3" i="186"/>
  <c r="G38" i="186"/>
  <c r="G66" i="186"/>
  <c r="G34" i="186"/>
  <c r="G52" i="186"/>
  <c r="G62" i="186"/>
  <c r="G36" i="186"/>
  <c r="G77" i="186"/>
  <c r="G83" i="186"/>
  <c r="G41" i="186"/>
  <c r="G90" i="186"/>
  <c r="G49" i="186"/>
  <c r="G87" i="186"/>
  <c r="G71" i="186"/>
  <c r="G55" i="186"/>
  <c r="G84" i="186"/>
  <c r="G45" i="186"/>
  <c r="G82" i="186"/>
  <c r="G60" i="186"/>
  <c r="G51" i="186"/>
  <c r="G79" i="186"/>
  <c r="G63" i="186"/>
  <c r="G57" i="186"/>
  <c r="G33" i="186"/>
  <c r="G46" i="186"/>
  <c r="G89" i="186"/>
  <c r="G73" i="186"/>
  <c r="G37" i="186"/>
  <c r="G64" i="186"/>
  <c r="G75" i="186"/>
  <c r="G81" i="186"/>
  <c r="G65" i="186"/>
  <c r="G58" i="186"/>
  <c r="G53" i="186"/>
  <c r="G32" i="186"/>
  <c r="G31" i="186"/>
  <c r="E91" i="186"/>
  <c r="F91" i="186" l="1"/>
  <c r="D91" i="186" l="1"/>
  <c r="F26" i="186" l="1"/>
  <c r="G91" i="186"/>
  <c r="F22" i="186" s="1"/>
  <c r="F24" i="186" s="1"/>
  <c r="H5" i="165" l="1"/>
  <c r="H6" i="165"/>
  <c r="H7" i="165"/>
  <c r="H8" i="165"/>
  <c r="H9" i="165"/>
  <c r="H4" i="165"/>
  <c r="K4" i="165" l="1"/>
  <c r="K5" i="165"/>
  <c r="K6" i="165"/>
  <c r="K7" i="165"/>
  <c r="K8" i="165"/>
  <c r="K9" i="165"/>
  <c r="H3" i="186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<sst xmlns="http://schemas.openxmlformats.org/spreadsheetml/2006/main" count="59" uniqueCount="53">
  <si>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</si>
  <si>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</si>
  <si>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</si>
  <si>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</si>
  <si>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</si>
  <si>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</si>
  <si>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</si>
  <si>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</si>
  <si>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</si>
  <si>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</si>
  <si>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</si>
  <si>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</si>
  <si>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</si>
  <si>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</si>
  <si>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</si>
  <si>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</si>
  <si>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</si>
  <si>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</si>
  <si>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</si>
  <si>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</si>
  <si>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</si>
  <si>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</si>
  <si>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</si>
  <si>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</si>
  <si>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</si>
  <si>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</si>
  <si>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</si>
  <si>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</si>
  <si>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</si>
  <si>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</si>
  <si>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</si>
  <si>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</si>
  <si>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</si>
  <si>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</si>
  <si>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</si>
  <si>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</si>
  <si>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</si>
  <si>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</si>
  <si>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</si>
  <si>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</si>
  <si>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</si>
  <si>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</si>
  <si>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>Введіть бажану суму рефінансування</t>
    </r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</si>
  <si>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>Введіть бажану суму додаткових коштів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</si>
  <si>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</si>
  <si>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</si>
  <si>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</si>
  <si>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Зустрічна пропозиція, 60 міс.</t>
  </si>
  <si>
    <t>Зустрічна пропозиція, 48 міс.</t>
  </si>
  <si>
    <t>Зустрічна пропозиція, 36 міс.</t>
  </si>
  <si>
    <t>Зустрічна пропозиція, 24 міс.</t>
  </si>
  <si>
    <t>Зустрічна пропозиція, 18 міс.</t>
  </si>
  <si>
    <t>Зустрічна пропозиція, 12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</si>
</sst>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rgb="FFFF0000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210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0" fontId="31" fillId="4" borderId="0" xfId="23" applyFont="1" applyFill="1" applyProtection="1"/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9" borderId="1" xfId="0" applyFill="1" applyBorder="1" applyProtection="1">
      <protection hidden="1"/>
    </xf>
    <xf numFmtId="10" fontId="0" fillId="9" borderId="1" xfId="24" applyNumberFormat="1" applyFont="1" applyFill="1" applyBorder="1" applyProtection="1">
      <protection hidden="1"/>
    </xf>
    <xf numFmtId="4" fontId="2" fillId="9" borderId="1" xfId="2" applyNumberFormat="1" applyFont="1" applyFill="1" applyBorder="1" applyAlignment="1" applyProtection="1">
      <alignment horizontal="center"/>
      <protection hidden="1"/>
    </xf>
    <xf numFmtId="174" fontId="2" fillId="9" borderId="1" xfId="49" applyNumberFormat="1" applyFont="1" applyFill="1" applyBorder="1" applyAlignment="1">
      <alignment horizontal="center"/>
    </xf>
    <xf numFmtId="175" fontId="2" fillId="9" borderId="1" xfId="24" applyNumberFormat="1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6" xfId="23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0" fontId="4" fillId="10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7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0" fontId="31" fillId="0" borderId="0" xfId="23" applyFont="1" applyFill="1" applyBorder="1" applyProtection="1"/>
    <xf numFmtId="1" fontId="32" fillId="0" borderId="0" xfId="0" applyNumberFormat="1" applyFont="1" applyFill="1" applyBorder="1" applyAlignment="1" applyProtection="1"/>
    <xf numFmtId="0" fontId="31" fillId="0" borderId="0" xfId="23" applyNumberFormat="1" applyFont="1" applyFill="1" applyAlignment="1" applyProtection="1">
      <alignment horizontal="right"/>
    </xf>
    <xf numFmtId="2" fontId="4" fillId="0" borderId="28" xfId="23" applyNumberFormat="1" applyBorder="1" applyAlignment="1" applyProtection="1">
      <alignment horizontal="center"/>
    </xf>
    <xf numFmtId="0" fontId="3" fillId="10" borderId="5" xfId="23" applyFont="1" applyFill="1" applyBorder="1" applyAlignment="1" applyProtection="1">
      <alignment horizontal="center"/>
    </xf>
    <xf numFmtId="0" fontId="16" fillId="12" borderId="8" xfId="23" applyFont="1" applyFill="1" applyBorder="1" applyAlignment="1" applyProtection="1">
      <alignment horizontal="center" vertical="center"/>
      <protection locked="0"/>
    </xf>
    <xf numFmtId="0" fontId="16" fillId="12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0" borderId="18" xfId="23" applyNumberFormat="1" applyFont="1" applyFill="1" applyBorder="1" applyAlignment="1" applyProtection="1">
      <alignment horizontal="center" vertical="center"/>
    </xf>
    <xf numFmtId="10" fontId="21" fillId="0" borderId="19" xfId="23" applyNumberFormat="1" applyFont="1" applyFill="1" applyBorder="1" applyAlignment="1" applyProtection="1">
      <alignment horizontal="center" vertical="center"/>
    </xf>
    <xf numFmtId="0" fontId="41" fillId="10" borderId="21" xfId="0" applyFont="1" applyFill="1" applyBorder="1" applyAlignment="1" applyProtection="1">
      <alignment horizontal="left" vertical="center"/>
    </xf>
    <xf numFmtId="0" fontId="38" fillId="10" borderId="22" xfId="0" applyFont="1" applyFill="1" applyBorder="1" applyAlignment="1" applyProtection="1">
      <alignment horizontal="left" vertical="center"/>
    </xf>
    <xf numFmtId="0" fontId="38" fillId="10" borderId="2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10" fontId="16" fillId="0" borderId="0" xfId="23" applyNumberFormat="1" applyFont="1" applyFill="1" applyBorder="1" applyAlignment="1" applyProtection="1">
      <alignment horizontal="center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8" fillId="0" borderId="27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4" fontId="16" fillId="0" borderId="1" xfId="23" applyNumberFormat="1" applyFont="1" applyBorder="1" applyAlignment="1" applyProtection="1">
      <alignment horizontal="center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AC98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59" t="s">
        <v>40</v>
      </c>
      <c r="I1" s="159"/>
    </row>
    <row r="2" spans="1:29" s="43" customFormat="1" ht="12.75" customHeight="1" x14ac:dyDescent="0.25">
      <c r="A2" s="29"/>
      <c r="B2" s="117"/>
      <c r="C2" s="117"/>
      <c r="D2" s="117"/>
      <c r="E2" s="155">
        <f>VLOOKUP('Зустрічна пропозиція'!H2,Лист2!A:N,14,FALSE)</f>
        <v>869</v>
      </c>
      <c r="F2" s="118">
        <f>VLOOKUP(H$2,Лист2!$A:$H,8,0)</f>
        <v>172500</v>
      </c>
      <c r="G2" s="134">
        <f ca="1">TODAY()</f>
        <v>44907</v>
      </c>
      <c r="H2" s="160" t="s">
        <v>47</v>
      </c>
      <c r="I2" s="161"/>
      <c r="J2" s="52"/>
      <c r="M2" s="150"/>
      <c r="N2" s="150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57">
        <f>IF(F9&lt;E2,"x",IF(F9&gt;F2,"y",F9))</f>
        <v>172499.5</v>
      </c>
      <c r="F3" s="162" t="str">
        <f>IF(E3="x","Збільшіть суму",IF(E3="y","Зменшіть суму",""))</f>
        <v/>
      </c>
      <c r="G3" s="67">
        <f>Назви!B33</f>
        <v>30.4</v>
      </c>
      <c r="H3" s="164" t="str">
        <f>VLOOKUP(H$2,Лист2!$A:$G,7,0)</f>
        <v>max. 172500 грн.</v>
      </c>
      <c r="I3" s="165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7"/>
      <c r="F4" s="163"/>
      <c r="G4" s="44"/>
      <c r="H4" s="144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66" t="s">
        <v>42</v>
      </c>
      <c r="C5" s="167"/>
      <c r="D5" s="167"/>
      <c r="E5" s="168"/>
      <c r="F5" s="152">
        <v>1000</v>
      </c>
      <c r="G5" s="153" t="s">
        <v>23</v>
      </c>
      <c r="H5" s="154"/>
      <c r="I5" s="3"/>
      <c r="J5" s="53"/>
      <c r="K5" s="64"/>
    </row>
    <row r="6" spans="1:29" s="5" customFormat="1" ht="7.5" customHeight="1" thickBot="1" x14ac:dyDescent="0.3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8" customHeight="1" thickBot="1" x14ac:dyDescent="0.3">
      <c r="A7" s="6"/>
      <c r="B7" s="166" t="s">
        <v>43</v>
      </c>
      <c r="C7" s="167"/>
      <c r="D7" s="167"/>
      <c r="E7" s="168"/>
      <c r="F7" s="152">
        <v>149130</v>
      </c>
      <c r="G7" s="153" t="s">
        <v>23</v>
      </c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9" customHeight="1" x14ac:dyDescent="0.25">
      <c r="A8" s="6"/>
      <c r="B8" s="156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s="5" customFormat="1" ht="13.8" customHeight="1" x14ac:dyDescent="0.25">
      <c r="A9" s="6"/>
      <c r="B9" s="169" t="s">
        <v>41</v>
      </c>
      <c r="C9" s="170"/>
      <c r="D9" s="170"/>
      <c r="E9" s="171"/>
      <c r="F9" s="17">
        <f>F5+F7+E18</f>
        <v>172499.5</v>
      </c>
      <c r="G9" s="45"/>
      <c r="H9" s="46"/>
      <c r="I9" s="2"/>
      <c r="J9" s="54"/>
      <c r="K9" s="64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s="5" customFormat="1" ht="7.5" customHeight="1" x14ac:dyDescent="0.25">
      <c r="A10" s="6"/>
      <c r="B10" s="7"/>
      <c r="C10" s="2"/>
      <c r="D10" s="7"/>
      <c r="E10" s="2"/>
      <c r="F10" s="8"/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x14ac:dyDescent="0.25">
      <c r="A11" s="6"/>
      <c r="B11" s="169" t="str">
        <f>Назви!A3</f>
        <v>Процентна ставка, % річних</v>
      </c>
      <c r="C11" s="170">
        <f>Назви!B3</f>
        <v>0</v>
      </c>
      <c r="D11" s="170">
        <f>Назви!C3</f>
        <v>0</v>
      </c>
      <c r="E11" s="171">
        <f>Назви!D3</f>
        <v>0</v>
      </c>
      <c r="F11" s="39">
        <f>VLOOKUP(H$2,Лист2!$A:$G,4,0)</f>
        <v>0.63990000000000002</v>
      </c>
      <c r="G11" s="172"/>
      <c r="H11" s="172"/>
      <c r="I11" s="3"/>
      <c r="J11" s="53"/>
      <c r="K11" s="64"/>
    </row>
    <row r="12" spans="1:29" s="5" customFormat="1" ht="6.75" customHeight="1" x14ac:dyDescent="0.25">
      <c r="A12" s="6"/>
      <c r="B12" s="7"/>
      <c r="C12" s="2"/>
      <c r="D12" s="7"/>
      <c r="E12" s="2"/>
      <c r="F12" s="106">
        <v>1.0000000000000001E-5</v>
      </c>
      <c r="G12" s="45"/>
      <c r="H12" s="46"/>
      <c r="I12" s="2"/>
      <c r="J12" s="54"/>
      <c r="K12" s="64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2.6" customHeight="1" x14ac:dyDescent="0.25">
      <c r="A13" s="6"/>
      <c r="B13" s="169" t="str">
        <f>Назви!A5</f>
        <v>Разовий страховий тариф, %</v>
      </c>
      <c r="C13" s="170">
        <f>Назви!B5</f>
        <v>0</v>
      </c>
      <c r="D13" s="170">
        <f>Назви!C5</f>
        <v>0</v>
      </c>
      <c r="E13" s="171">
        <f>Назви!D5</f>
        <v>0</v>
      </c>
      <c r="F13" s="39">
        <f>VLOOKUP(H$2,Лист2!$A:$G,5,0)</f>
        <v>0.15</v>
      </c>
      <c r="G13" s="172"/>
      <c r="H13" s="172"/>
      <c r="I13" s="3"/>
      <c r="J13" s="53"/>
      <c r="K13" s="131" t="str">
        <f>Лист2!A4</f>
        <v>Зустрічна пропозиція, 60 міс.</v>
      </c>
    </row>
    <row r="14" spans="1:29" s="5" customFormat="1" ht="6.6" customHeight="1" x14ac:dyDescent="0.25">
      <c r="A14" s="6"/>
      <c r="B14" s="7"/>
      <c r="C14" s="2"/>
      <c r="D14" s="7"/>
      <c r="E14" s="2"/>
      <c r="F14" s="47"/>
      <c r="G14" s="45"/>
      <c r="H14" s="46"/>
      <c r="I14" s="2"/>
      <c r="J14" s="54"/>
      <c r="K14" s="131" t="str">
        <f>Лист2!A5</f>
        <v>Зустрічна пропозиція, 48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69" t="str">
        <f>Назви!A7</f>
        <v xml:space="preserve">Щомісячна плата за обслуговування кредитної заборгованості, % </v>
      </c>
      <c r="C15" s="170">
        <f>Назви!B7</f>
        <v>0</v>
      </c>
      <c r="D15" s="170">
        <f>Назви!C7</f>
        <v>0</v>
      </c>
      <c r="E15" s="171">
        <f>Назви!D7</f>
        <v>0</v>
      </c>
      <c r="F15" s="39">
        <f>VLOOKUP(H$2,Лист2!$A:$G,6,0)</f>
        <v>0</v>
      </c>
      <c r="G15" s="172"/>
      <c r="H15" s="172"/>
      <c r="I15" s="3"/>
      <c r="J15" s="53"/>
      <c r="K15" s="131" t="str">
        <f>Лист2!A6</f>
        <v>Зустрічна пропозиція, 36 міс.</v>
      </c>
    </row>
    <row r="16" spans="1:29" s="5" customFormat="1" ht="6.75" customHeight="1" x14ac:dyDescent="0.25">
      <c r="A16" s="6"/>
      <c r="B16" s="7"/>
      <c r="C16" s="2"/>
      <c r="D16" s="7"/>
      <c r="E16" s="2"/>
      <c r="F16" s="12"/>
      <c r="G16" s="45"/>
      <c r="H16" s="46"/>
      <c r="I16" s="2"/>
      <c r="J16" s="54"/>
      <c r="K16" s="131" t="str">
        <f>Лист2!A7</f>
        <v>Зустрічна пропозиція, 24 міс.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5">
      <c r="A17" s="6"/>
      <c r="B17" s="169" t="str">
        <f>Назви!A9</f>
        <v>Термін кредитування (міс.)</v>
      </c>
      <c r="C17" s="170">
        <f>Назви!B9</f>
        <v>0</v>
      </c>
      <c r="D17" s="170">
        <f>Назви!C9</f>
        <v>0</v>
      </c>
      <c r="E17" s="171">
        <f>Назви!D9</f>
        <v>0</v>
      </c>
      <c r="F17" s="63">
        <f>VLOOKUP(H$2,Лист2!$A:$G,3,0)</f>
        <v>60</v>
      </c>
      <c r="G17" s="172"/>
      <c r="H17" s="172"/>
      <c r="I17" s="3"/>
      <c r="J17" s="53"/>
      <c r="K17" s="131" t="str">
        <f>Лист2!A8</f>
        <v>Зустрічна пропозиція, 18 міс.</v>
      </c>
    </row>
    <row r="18" spans="1:29" s="15" customFormat="1" x14ac:dyDescent="0.25">
      <c r="A18" s="6"/>
      <c r="B18" s="13"/>
      <c r="C18" s="58"/>
      <c r="D18" s="110"/>
      <c r="E18" s="132">
        <f>F7*F13</f>
        <v>22369.5</v>
      </c>
      <c r="F18" s="117"/>
      <c r="G18" s="112"/>
      <c r="H18" s="14"/>
      <c r="I18" s="1"/>
      <c r="J18" s="54"/>
      <c r="K18" s="131" t="str">
        <f>Лист2!A9</f>
        <v>Зустрічна пропозиція, 12 міс.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11.25" customHeight="1" x14ac:dyDescent="0.25">
      <c r="A19" s="6"/>
      <c r="B19" s="13"/>
      <c r="C19" s="58"/>
      <c r="D19" s="110"/>
      <c r="E19" s="133">
        <f>E18+F5+F7</f>
        <v>172499.5</v>
      </c>
      <c r="F19" s="117"/>
      <c r="G19" s="112"/>
      <c r="H19" s="16"/>
      <c r="I19" s="1"/>
      <c r="J19" s="116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75" t="str">
        <f>Назви!A12</f>
        <v>Орієнтовний платіж, грн.</v>
      </c>
      <c r="C20" s="176">
        <f>Назви!B12</f>
        <v>0</v>
      </c>
      <c r="D20" s="176">
        <f>Назви!C12</f>
        <v>0</v>
      </c>
      <c r="E20" s="177">
        <f>Назви!D12</f>
        <v>0</v>
      </c>
      <c r="F20" s="17">
        <f>PMT(F11/12,F17,-E19)+F15*E19</f>
        <v>9624.7685460318444</v>
      </c>
      <c r="G20" s="178"/>
      <c r="H20" s="179"/>
      <c r="I20" s="123"/>
      <c r="J20" s="54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19"/>
      <c r="C21" s="19"/>
      <c r="D21" s="19"/>
      <c r="E21" s="19"/>
      <c r="F21" s="20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75" t="str">
        <f>Назви!A14</f>
        <v>Орієнтовні загальні витрати за кредитом, грн.</v>
      </c>
      <c r="C22" s="176">
        <f>Назви!B14</f>
        <v>0</v>
      </c>
      <c r="D22" s="176">
        <f>Назви!C14</f>
        <v>0</v>
      </c>
      <c r="E22" s="177">
        <f>Назви!D14</f>
        <v>0</v>
      </c>
      <c r="F22" s="17">
        <f>G91-E3</f>
        <v>404986.61276191054</v>
      </c>
      <c r="G22" s="180"/>
      <c r="H22" s="180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23"/>
      <c r="C23" s="23"/>
      <c r="D23" s="23"/>
      <c r="E23" s="23"/>
      <c r="F23" s="24"/>
      <c r="G23" s="21"/>
      <c r="H23" s="22"/>
      <c r="I23" s="1"/>
      <c r="J23" s="55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75" t="str">
        <f>Назви!A16</f>
        <v>Орієнтовна загальна вартість кредиту, грн.</v>
      </c>
      <c r="C24" s="176">
        <f>Назви!B16</f>
        <v>0</v>
      </c>
      <c r="D24" s="176">
        <f>Назви!C16</f>
        <v>0</v>
      </c>
      <c r="E24" s="177">
        <f>Назви!D16</f>
        <v>0</v>
      </c>
      <c r="F24" s="17">
        <f>E3+F22</f>
        <v>577486.11276191054</v>
      </c>
      <c r="G24" s="172"/>
      <c r="H24" s="172"/>
      <c r="I24" s="1"/>
      <c r="J24" s="55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7.2" customHeight="1" x14ac:dyDescent="0.25">
      <c r="A25" s="6"/>
      <c r="B25" s="19"/>
      <c r="C25" s="19"/>
      <c r="D25" s="19"/>
      <c r="E25" s="19"/>
      <c r="F25" s="26"/>
      <c r="G25" s="21"/>
      <c r="H25" s="22"/>
      <c r="I25" s="1"/>
      <c r="J25" s="1"/>
      <c r="K25" s="13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s="15" customFormat="1" x14ac:dyDescent="0.25">
      <c r="A26" s="6"/>
      <c r="B26" s="175" t="str">
        <f>Назви!A18</f>
        <v>Орієнтовна реальна річна процентна ставка, %</v>
      </c>
      <c r="C26" s="176"/>
      <c r="D26" s="176"/>
      <c r="E26" s="177"/>
      <c r="F26" s="39">
        <f ca="1">XIRR(G30:G90,C30:C90)</f>
        <v>1.0712253451347353</v>
      </c>
      <c r="G26" s="143"/>
      <c r="H26" s="22"/>
      <c r="I26" s="1"/>
      <c r="J26" s="1"/>
      <c r="K26" s="131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s="15" customFormat="1" ht="13.8" thickBot="1" x14ac:dyDescent="0.3">
      <c r="A27" s="6"/>
      <c r="B27" s="30"/>
      <c r="C27" s="19"/>
      <c r="D27" s="121"/>
      <c r="E27" s="31"/>
      <c r="F27" s="32"/>
      <c r="G27" s="22"/>
      <c r="H27" s="21"/>
      <c r="I27" s="1"/>
      <c r="J27" s="1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8" thickBot="1" x14ac:dyDescent="0.3">
      <c r="A28" s="1"/>
      <c r="B28" s="181" t="str">
        <f>Назви!A27</f>
        <v>Орієнтовний порядок повернення кредиту</v>
      </c>
      <c r="C28" s="182"/>
      <c r="D28" s="182"/>
      <c r="E28" s="182"/>
      <c r="F28" s="182"/>
      <c r="G28" s="182"/>
      <c r="H28" s="183"/>
      <c r="I28" s="3"/>
      <c r="K28" s="131"/>
    </row>
    <row r="29" spans="1:29" ht="31.2" customHeight="1" thickBot="1" x14ac:dyDescent="0.3">
      <c r="A29" s="1"/>
      <c r="B29" s="141" t="s">
        <v>39</v>
      </c>
      <c r="C29" s="141" t="str">
        <f>Назви!A28</f>
        <v>Місяць</v>
      </c>
      <c r="D29" s="111" t="str">
        <f>Назви!C28</f>
        <v>Погашення суми кредиту, грн.</v>
      </c>
      <c r="E29" s="111" t="str">
        <f>Назви!D28</f>
        <v>Розмір щомісячної плати за обслуговування кредитної заборгованості, грн.</v>
      </c>
      <c r="F29" s="111" t="str">
        <f>Назви!E28</f>
        <v>Проценти за користування кредитом, грн.</v>
      </c>
      <c r="G29" s="184" t="str">
        <f>Назви!F28</f>
        <v>Сума платежу за розрахунковий період, грн.</v>
      </c>
      <c r="H29" s="185"/>
      <c r="I29" s="3"/>
      <c r="K29" s="131"/>
    </row>
    <row r="30" spans="1:29" ht="13.8" hidden="1" thickBot="1" x14ac:dyDescent="0.3">
      <c r="A30" s="1"/>
      <c r="B30" s="107">
        <v>0</v>
      </c>
      <c r="C30" s="142">
        <f ca="1">TODAY()+51</f>
        <v>44958</v>
      </c>
      <c r="D30" s="108"/>
      <c r="E30" s="109"/>
      <c r="F30" s="108"/>
      <c r="G30" s="173">
        <f>-1*E3+E18</f>
        <v>-150130</v>
      </c>
      <c r="H30" s="174"/>
      <c r="I30" s="3"/>
      <c r="K30" s="131"/>
    </row>
    <row r="31" spans="1:29" ht="13.8" thickBot="1" x14ac:dyDescent="0.3">
      <c r="A31" s="1">
        <v>1</v>
      </c>
      <c r="B31" s="120">
        <v>1</v>
      </c>
      <c r="C31" s="126">
        <f ca="1">DATE(YEAR(C30),MONTH(C30)+1,DAY(C30))</f>
        <v>44986</v>
      </c>
      <c r="D31" s="158">
        <f>IFERROR(PPMT($F$11/12,B31,$F$17,-$E$19),0)</f>
        <v>426.23270853184522</v>
      </c>
      <c r="E31" s="149">
        <v>0</v>
      </c>
      <c r="F31" s="149">
        <f>IFERROR(IPMT($F$11/12,B31,$F$17,-$F$9),0)</f>
        <v>9198.5358375000014</v>
      </c>
      <c r="G31" s="186">
        <f>SUM(D31:F31)</f>
        <v>9624.7685460318462</v>
      </c>
      <c r="H31" s="186"/>
      <c r="I31" s="3"/>
      <c r="K31" s="131"/>
    </row>
    <row r="32" spans="1:29" ht="13.8" thickBot="1" x14ac:dyDescent="0.3">
      <c r="A32" s="1">
        <v>2</v>
      </c>
      <c r="B32" s="119">
        <v>2</v>
      </c>
      <c r="C32" s="122">
        <f t="shared" ref="C32:C90" ca="1" si="0">DATE(YEAR(C31),MONTH(C31)+1,DAY(C31))</f>
        <v>45017</v>
      </c>
      <c r="D32" s="158">
        <f t="shared" ref="D32:D90" si="1">IFERROR(PPMT($F$11/12,B32,$F$17,-$E$19),0)</f>
        <v>448.96156771430589</v>
      </c>
      <c r="E32" s="149">
        <v>0</v>
      </c>
      <c r="F32" s="149">
        <f t="shared" ref="F32:F90" si="2">IFERROR(IPMT($F$11/12,B32,$F$17,-$F$9),0)</f>
        <v>9175.8069783175397</v>
      </c>
      <c r="G32" s="186">
        <f t="shared" ref="G32:G90" si="3">SUM(D32:F32)</f>
        <v>9624.7685460318462</v>
      </c>
      <c r="H32" s="186"/>
      <c r="I32" s="3"/>
      <c r="K32" s="131"/>
    </row>
    <row r="33" spans="1:11" ht="13.8" thickBot="1" x14ac:dyDescent="0.3">
      <c r="A33" s="1">
        <v>3</v>
      </c>
      <c r="B33" s="119">
        <v>3</v>
      </c>
      <c r="C33" s="122">
        <f t="shared" ca="1" si="0"/>
        <v>45047</v>
      </c>
      <c r="D33" s="158">
        <f t="shared" si="1"/>
        <v>472.90244331267115</v>
      </c>
      <c r="E33" s="149">
        <v>0</v>
      </c>
      <c r="F33" s="149">
        <f t="shared" si="2"/>
        <v>9151.8661027191738</v>
      </c>
      <c r="G33" s="186">
        <f t="shared" si="3"/>
        <v>9624.7685460318444</v>
      </c>
      <c r="H33" s="186"/>
      <c r="I33" s="3"/>
      <c r="K33" s="131"/>
    </row>
    <row r="34" spans="1:11" ht="13.8" thickBot="1" x14ac:dyDescent="0.3">
      <c r="A34" s="1">
        <v>4</v>
      </c>
      <c r="B34" s="119">
        <v>4</v>
      </c>
      <c r="C34" s="122">
        <f t="shared" ca="1" si="0"/>
        <v>45078</v>
      </c>
      <c r="D34" s="158">
        <f t="shared" si="1"/>
        <v>498.11996610231944</v>
      </c>
      <c r="E34" s="149">
        <v>0</v>
      </c>
      <c r="F34" s="149">
        <f t="shared" si="2"/>
        <v>9126.648579929526</v>
      </c>
      <c r="G34" s="186">
        <f t="shared" si="3"/>
        <v>9624.7685460318462</v>
      </c>
      <c r="H34" s="186"/>
      <c r="I34" s="3"/>
      <c r="K34" s="131"/>
    </row>
    <row r="35" spans="1:11" ht="13.8" thickBot="1" x14ac:dyDescent="0.3">
      <c r="A35" s="1">
        <v>5</v>
      </c>
      <c r="B35" s="119">
        <v>5</v>
      </c>
      <c r="C35" s="122">
        <f t="shared" ca="1" si="0"/>
        <v>45108</v>
      </c>
      <c r="D35" s="158">
        <f t="shared" si="1"/>
        <v>524.68221329472556</v>
      </c>
      <c r="E35" s="149">
        <v>0</v>
      </c>
      <c r="F35" s="149">
        <f t="shared" si="2"/>
        <v>9100.0863327371189</v>
      </c>
      <c r="G35" s="186">
        <f t="shared" si="3"/>
        <v>9624.7685460318444</v>
      </c>
      <c r="H35" s="186"/>
      <c r="I35" s="3"/>
      <c r="K35" s="131"/>
    </row>
    <row r="36" spans="1:11" ht="13.8" thickBot="1" x14ac:dyDescent="0.3">
      <c r="A36" s="1">
        <v>6</v>
      </c>
      <c r="B36" s="119">
        <v>6</v>
      </c>
      <c r="C36" s="122">
        <f t="shared" ca="1" si="0"/>
        <v>45139</v>
      </c>
      <c r="D36" s="158">
        <f t="shared" si="1"/>
        <v>552.66089231866681</v>
      </c>
      <c r="E36" s="149">
        <v>0</v>
      </c>
      <c r="F36" s="149">
        <f t="shared" si="2"/>
        <v>9072.1076537131794</v>
      </c>
      <c r="G36" s="186">
        <f t="shared" si="3"/>
        <v>9624.7685460318462</v>
      </c>
      <c r="H36" s="186"/>
      <c r="I36" s="3"/>
      <c r="K36" s="131"/>
    </row>
    <row r="37" spans="1:11" ht="13.8" thickBot="1" x14ac:dyDescent="0.3">
      <c r="A37" s="1">
        <v>7</v>
      </c>
      <c r="B37" s="119">
        <v>7</v>
      </c>
      <c r="C37" s="122">
        <f t="shared" ca="1" si="0"/>
        <v>45170</v>
      </c>
      <c r="D37" s="158">
        <f t="shared" si="1"/>
        <v>582.13153440155975</v>
      </c>
      <c r="E37" s="149">
        <v>0</v>
      </c>
      <c r="F37" s="149">
        <f t="shared" si="2"/>
        <v>9042.6370116302842</v>
      </c>
      <c r="G37" s="186">
        <f t="shared" si="3"/>
        <v>9624.7685460318444</v>
      </c>
      <c r="H37" s="186"/>
      <c r="I37" s="3"/>
      <c r="K37" s="131"/>
    </row>
    <row r="38" spans="1:11" ht="13.8" thickBot="1" x14ac:dyDescent="0.3">
      <c r="A38" s="1">
        <v>8</v>
      </c>
      <c r="B38" s="119">
        <v>8</v>
      </c>
      <c r="C38" s="122">
        <f t="shared" ca="1" si="0"/>
        <v>45200</v>
      </c>
      <c r="D38" s="158">
        <f t="shared" si="1"/>
        <v>613.1736984735229</v>
      </c>
      <c r="E38" s="149">
        <v>0</v>
      </c>
      <c r="F38" s="149">
        <f t="shared" si="2"/>
        <v>9011.5948475583227</v>
      </c>
      <c r="G38" s="186">
        <f t="shared" si="3"/>
        <v>9624.7685460318462</v>
      </c>
      <c r="H38" s="186"/>
      <c r="I38" s="3"/>
      <c r="K38" s="131"/>
    </row>
    <row r="39" spans="1:11" ht="13.8" thickBot="1" x14ac:dyDescent="0.3">
      <c r="A39" s="1">
        <v>9</v>
      </c>
      <c r="B39" s="119">
        <v>9</v>
      </c>
      <c r="C39" s="122">
        <f t="shared" ca="1" si="0"/>
        <v>45231</v>
      </c>
      <c r="D39" s="158">
        <f t="shared" si="1"/>
        <v>645.87118594462356</v>
      </c>
      <c r="E39" s="149">
        <v>0</v>
      </c>
      <c r="F39" s="149">
        <f t="shared" si="2"/>
        <v>8978.8973600872214</v>
      </c>
      <c r="G39" s="186">
        <f t="shared" si="3"/>
        <v>9624.7685460318444</v>
      </c>
      <c r="H39" s="186"/>
      <c r="I39" s="3"/>
      <c r="K39" s="131"/>
    </row>
    <row r="40" spans="1:11" ht="13.8" thickBot="1" x14ac:dyDescent="0.3">
      <c r="A40" s="1">
        <v>10</v>
      </c>
      <c r="B40" s="119">
        <v>10</v>
      </c>
      <c r="C40" s="122">
        <f t="shared" ca="1" si="0"/>
        <v>45261</v>
      </c>
      <c r="D40" s="158">
        <f t="shared" si="1"/>
        <v>680.31226693512053</v>
      </c>
      <c r="E40" s="149">
        <v>0</v>
      </c>
      <c r="F40" s="149">
        <f t="shared" si="2"/>
        <v>8944.4562790967248</v>
      </c>
      <c r="G40" s="186">
        <f t="shared" si="3"/>
        <v>9624.7685460318462</v>
      </c>
      <c r="H40" s="186"/>
      <c r="I40" s="3"/>
      <c r="K40" s="131"/>
    </row>
    <row r="41" spans="1:11" ht="13.8" thickBot="1" x14ac:dyDescent="0.3">
      <c r="A41" s="1">
        <v>22</v>
      </c>
      <c r="B41" s="119">
        <v>11</v>
      </c>
      <c r="C41" s="122">
        <f t="shared" ca="1" si="0"/>
        <v>45292</v>
      </c>
      <c r="D41" s="158">
        <f t="shared" si="1"/>
        <v>716.58991856943589</v>
      </c>
      <c r="E41" s="149">
        <v>0</v>
      </c>
      <c r="F41" s="149">
        <f t="shared" si="2"/>
        <v>8908.1786274624101</v>
      </c>
      <c r="G41" s="186">
        <f t="shared" si="3"/>
        <v>9624.7685460318462</v>
      </c>
      <c r="H41" s="186"/>
      <c r="I41" s="3"/>
      <c r="K41" s="131"/>
    </row>
    <row r="42" spans="1:11" ht="13.8" thickBot="1" x14ac:dyDescent="0.3">
      <c r="A42" s="1">
        <v>22</v>
      </c>
      <c r="B42" s="119">
        <v>12</v>
      </c>
      <c r="C42" s="122">
        <f t="shared" ca="1" si="0"/>
        <v>45323</v>
      </c>
      <c r="D42" s="158">
        <f t="shared" si="1"/>
        <v>754.80207597715105</v>
      </c>
      <c r="E42" s="149">
        <v>0</v>
      </c>
      <c r="F42" s="149">
        <f t="shared" si="2"/>
        <v>8869.9664700546928</v>
      </c>
      <c r="G42" s="186">
        <f t="shared" si="3"/>
        <v>9624.7685460318444</v>
      </c>
      <c r="H42" s="186"/>
      <c r="I42" s="3"/>
      <c r="K42" s="131"/>
    </row>
    <row r="43" spans="1:11" ht="13.8" thickBot="1" x14ac:dyDescent="0.3">
      <c r="A43" s="1">
        <v>13</v>
      </c>
      <c r="B43" s="119">
        <v>13</v>
      </c>
      <c r="C43" s="122">
        <f t="shared" ca="1" si="0"/>
        <v>45352</v>
      </c>
      <c r="D43" s="158">
        <f t="shared" si="1"/>
        <v>795.0518966786326</v>
      </c>
      <c r="E43" s="149">
        <v>0</v>
      </c>
      <c r="F43" s="149">
        <f t="shared" si="2"/>
        <v>8829.7166493532113</v>
      </c>
      <c r="G43" s="186">
        <f t="shared" si="3"/>
        <v>9624.7685460318444</v>
      </c>
      <c r="H43" s="186"/>
      <c r="I43" s="3"/>
      <c r="K43" s="131"/>
    </row>
    <row r="44" spans="1:11" ht="13.8" thickBot="1" x14ac:dyDescent="0.3">
      <c r="A44" s="1">
        <v>14</v>
      </c>
      <c r="B44" s="119">
        <v>14</v>
      </c>
      <c r="C44" s="122">
        <f t="shared" ca="1" si="0"/>
        <v>45383</v>
      </c>
      <c r="D44" s="158">
        <f t="shared" si="1"/>
        <v>837.44803906902041</v>
      </c>
      <c r="E44" s="149">
        <v>0</v>
      </c>
      <c r="F44" s="149">
        <f t="shared" si="2"/>
        <v>8787.3205069628239</v>
      </c>
      <c r="G44" s="186">
        <f t="shared" si="3"/>
        <v>9624.7685460318444</v>
      </c>
      <c r="H44" s="186"/>
      <c r="I44" s="3"/>
      <c r="K44" s="131"/>
    </row>
    <row r="45" spans="1:11" ht="13.8" thickBot="1" x14ac:dyDescent="0.3">
      <c r="A45" s="1">
        <v>15</v>
      </c>
      <c r="B45" s="119">
        <v>15</v>
      </c>
      <c r="C45" s="122">
        <f t="shared" ca="1" si="0"/>
        <v>45413</v>
      </c>
      <c r="D45" s="158">
        <f t="shared" si="1"/>
        <v>882.1049557523761</v>
      </c>
      <c r="E45" s="149">
        <v>0</v>
      </c>
      <c r="F45" s="149">
        <f t="shared" si="2"/>
        <v>8742.6635902794678</v>
      </c>
      <c r="G45" s="186">
        <f t="shared" si="3"/>
        <v>9624.7685460318444</v>
      </c>
      <c r="H45" s="186"/>
      <c r="I45" s="3"/>
      <c r="K45" s="131"/>
    </row>
    <row r="46" spans="1:11" ht="13.8" thickBot="1" x14ac:dyDescent="0.3">
      <c r="A46" s="1">
        <v>16</v>
      </c>
      <c r="B46" s="119">
        <v>16</v>
      </c>
      <c r="C46" s="122">
        <f t="shared" ca="1" si="0"/>
        <v>45444</v>
      </c>
      <c r="D46" s="158">
        <f t="shared" si="1"/>
        <v>929.14320251787137</v>
      </c>
      <c r="E46" s="149">
        <v>0</v>
      </c>
      <c r="F46" s="149">
        <f t="shared" si="2"/>
        <v>8695.6253435139752</v>
      </c>
      <c r="G46" s="186">
        <f t="shared" si="3"/>
        <v>9624.7685460318462</v>
      </c>
      <c r="H46" s="186"/>
      <c r="I46" s="3"/>
      <c r="K46" s="131"/>
    </row>
    <row r="47" spans="1:11" ht="13.8" thickBot="1" x14ac:dyDescent="0.3">
      <c r="A47" s="1">
        <v>22</v>
      </c>
      <c r="B47" s="119">
        <v>17</v>
      </c>
      <c r="C47" s="122">
        <f t="shared" ca="1" si="0"/>
        <v>45474</v>
      </c>
      <c r="D47" s="158">
        <f t="shared" si="1"/>
        <v>978.68976379213689</v>
      </c>
      <c r="E47" s="149">
        <v>0</v>
      </c>
      <c r="F47" s="149">
        <f t="shared" si="2"/>
        <v>8646.0787822397087</v>
      </c>
      <c r="G47" s="186">
        <f t="shared" si="3"/>
        <v>9624.7685460318462</v>
      </c>
      <c r="H47" s="186"/>
      <c r="I47" s="3"/>
      <c r="K47" s="131"/>
    </row>
    <row r="48" spans="1:11" ht="13.8" thickBot="1" x14ac:dyDescent="0.3">
      <c r="A48" s="1">
        <v>22</v>
      </c>
      <c r="B48" s="119">
        <v>18</v>
      </c>
      <c r="C48" s="122">
        <f t="shared" ca="1" si="0"/>
        <v>45505</v>
      </c>
      <c r="D48" s="158">
        <f t="shared" si="1"/>
        <v>1030.8783954463527</v>
      </c>
      <c r="E48" s="149">
        <v>0</v>
      </c>
      <c r="F48" s="149">
        <f t="shared" si="2"/>
        <v>8593.8901505854919</v>
      </c>
      <c r="G48" s="186">
        <f t="shared" si="3"/>
        <v>9624.7685460318444</v>
      </c>
      <c r="H48" s="186"/>
      <c r="I48" s="3"/>
      <c r="K48" s="131"/>
    </row>
    <row r="49" spans="1:11" ht="13.8" thickBot="1" x14ac:dyDescent="0.3">
      <c r="A49" s="1">
        <v>19</v>
      </c>
      <c r="B49" s="119">
        <v>19</v>
      </c>
      <c r="C49" s="122">
        <f t="shared" ca="1" si="0"/>
        <v>45536</v>
      </c>
      <c r="D49" s="158">
        <f t="shared" si="1"/>
        <v>1085.8499858835294</v>
      </c>
      <c r="E49" s="149">
        <v>0</v>
      </c>
      <c r="F49" s="149">
        <f t="shared" si="2"/>
        <v>8538.918560148315</v>
      </c>
      <c r="G49" s="186">
        <f t="shared" si="3"/>
        <v>9624.7685460318444</v>
      </c>
      <c r="H49" s="186"/>
      <c r="I49" s="3"/>
      <c r="K49" s="131"/>
    </row>
    <row r="50" spans="1:11" ht="13.8" thickBot="1" x14ac:dyDescent="0.3">
      <c r="A50" s="1">
        <v>20</v>
      </c>
      <c r="B50" s="119">
        <v>20</v>
      </c>
      <c r="C50" s="122">
        <f t="shared" ca="1" si="0"/>
        <v>45566</v>
      </c>
      <c r="D50" s="158">
        <f t="shared" si="1"/>
        <v>1143.7529363807685</v>
      </c>
      <c r="E50" s="149">
        <v>0</v>
      </c>
      <c r="F50" s="149">
        <f t="shared" si="2"/>
        <v>8481.0156096510764</v>
      </c>
      <c r="G50" s="186">
        <f t="shared" si="3"/>
        <v>9624.7685460318444</v>
      </c>
      <c r="H50" s="186"/>
      <c r="I50" s="3"/>
      <c r="K50" s="131"/>
    </row>
    <row r="51" spans="1:11" ht="13.8" thickBot="1" x14ac:dyDescent="0.3">
      <c r="A51" s="59">
        <v>21</v>
      </c>
      <c r="B51" s="119">
        <v>21</v>
      </c>
      <c r="C51" s="122">
        <f t="shared" ca="1" si="0"/>
        <v>45597</v>
      </c>
      <c r="D51" s="158">
        <f t="shared" si="1"/>
        <v>1204.743561713273</v>
      </c>
      <c r="E51" s="149">
        <v>0</v>
      </c>
      <c r="F51" s="149">
        <f t="shared" si="2"/>
        <v>8420.024984318572</v>
      </c>
      <c r="G51" s="186">
        <f t="shared" si="3"/>
        <v>9624.7685460318444</v>
      </c>
      <c r="H51" s="186"/>
      <c r="I51" s="3"/>
      <c r="K51" s="131"/>
    </row>
    <row r="52" spans="1:11" ht="13.8" thickBot="1" x14ac:dyDescent="0.3">
      <c r="A52" s="59">
        <v>22</v>
      </c>
      <c r="B52" s="119">
        <v>22</v>
      </c>
      <c r="C52" s="122">
        <f t="shared" ca="1" si="0"/>
        <v>45627</v>
      </c>
      <c r="D52" s="158">
        <f t="shared" si="1"/>
        <v>1268.9865121416333</v>
      </c>
      <c r="E52" s="149">
        <v>0</v>
      </c>
      <c r="F52" s="149">
        <f t="shared" si="2"/>
        <v>8355.7820338902111</v>
      </c>
      <c r="G52" s="186">
        <f t="shared" si="3"/>
        <v>9624.7685460318444</v>
      </c>
      <c r="H52" s="186"/>
      <c r="I52" s="3"/>
    </row>
    <row r="53" spans="1:11" ht="13.8" thickBot="1" x14ac:dyDescent="0.3">
      <c r="A53" s="59">
        <v>25</v>
      </c>
      <c r="B53" s="119">
        <v>23</v>
      </c>
      <c r="C53" s="122">
        <f t="shared" ca="1" si="0"/>
        <v>45658</v>
      </c>
      <c r="D53" s="158">
        <f t="shared" si="1"/>
        <v>1336.655217901586</v>
      </c>
      <c r="E53" s="149">
        <v>0</v>
      </c>
      <c r="F53" s="149">
        <f t="shared" si="2"/>
        <v>8288.1133281302591</v>
      </c>
      <c r="G53" s="186">
        <f t="shared" si="3"/>
        <v>9624.7685460318444</v>
      </c>
      <c r="H53" s="186"/>
      <c r="I53" s="3"/>
    </row>
    <row r="54" spans="1:11" ht="13.8" thickBot="1" x14ac:dyDescent="0.3">
      <c r="A54" s="59"/>
      <c r="B54" s="119">
        <v>24</v>
      </c>
      <c r="C54" s="122">
        <f t="shared" ca="1" si="0"/>
        <v>45689</v>
      </c>
      <c r="D54" s="158">
        <f t="shared" si="1"/>
        <v>1407.9323573961879</v>
      </c>
      <c r="E54" s="149">
        <v>0</v>
      </c>
      <c r="F54" s="149">
        <f t="shared" si="2"/>
        <v>8216.8361886356579</v>
      </c>
      <c r="G54" s="186">
        <f t="shared" si="3"/>
        <v>9624.7685460318462</v>
      </c>
      <c r="H54" s="186"/>
      <c r="I54" s="3"/>
    </row>
    <row r="55" spans="1:11" ht="13.8" thickBot="1" x14ac:dyDescent="0.3">
      <c r="A55" s="59"/>
      <c r="B55" s="119">
        <v>25</v>
      </c>
      <c r="C55" s="122">
        <f t="shared" ca="1" si="0"/>
        <v>45717</v>
      </c>
      <c r="D55" s="158">
        <f t="shared" si="1"/>
        <v>1483.0103503543398</v>
      </c>
      <c r="E55" s="149">
        <v>0</v>
      </c>
      <c r="F55" s="149">
        <f t="shared" si="2"/>
        <v>8141.7581956775048</v>
      </c>
      <c r="G55" s="186">
        <f t="shared" si="3"/>
        <v>9624.7685460318444</v>
      </c>
      <c r="H55" s="186"/>
      <c r="I55" s="3"/>
    </row>
    <row r="56" spans="1:11" ht="13.8" thickBot="1" x14ac:dyDescent="0.3">
      <c r="A56" s="59"/>
      <c r="B56" s="119">
        <v>26</v>
      </c>
      <c r="C56" s="122">
        <f t="shared" ca="1" si="0"/>
        <v>45748</v>
      </c>
      <c r="D56" s="158">
        <f t="shared" si="1"/>
        <v>1562.091877286985</v>
      </c>
      <c r="E56" s="149">
        <v>0</v>
      </c>
      <c r="F56" s="149">
        <f t="shared" si="2"/>
        <v>8062.6766687448608</v>
      </c>
      <c r="G56" s="186">
        <f t="shared" si="3"/>
        <v>9624.7685460318462</v>
      </c>
      <c r="H56" s="186"/>
      <c r="I56" s="3"/>
    </row>
    <row r="57" spans="1:11" ht="13.8" thickBot="1" x14ac:dyDescent="0.3">
      <c r="A57" s="59"/>
      <c r="B57" s="119">
        <v>27</v>
      </c>
      <c r="C57" s="122">
        <f t="shared" ca="1" si="0"/>
        <v>45778</v>
      </c>
      <c r="D57" s="158">
        <f t="shared" si="1"/>
        <v>1645.3904266433133</v>
      </c>
      <c r="E57" s="149">
        <v>0</v>
      </c>
      <c r="F57" s="149">
        <f t="shared" si="2"/>
        <v>7979.3781193885306</v>
      </c>
      <c r="G57" s="186">
        <f t="shared" si="3"/>
        <v>9624.7685460318444</v>
      </c>
      <c r="H57" s="186"/>
      <c r="I57" s="3"/>
    </row>
    <row r="58" spans="1:11" ht="13.8" thickBot="1" x14ac:dyDescent="0.3">
      <c r="A58" s="59"/>
      <c r="B58" s="119">
        <v>28</v>
      </c>
      <c r="C58" s="122">
        <f t="shared" ca="1" si="0"/>
        <v>45809</v>
      </c>
      <c r="D58" s="158">
        <f t="shared" si="1"/>
        <v>1733.1308711440681</v>
      </c>
      <c r="E58" s="149">
        <v>0</v>
      </c>
      <c r="F58" s="149">
        <f t="shared" si="2"/>
        <v>7891.6376748877765</v>
      </c>
      <c r="G58" s="186">
        <f t="shared" si="3"/>
        <v>9624.7685460318444</v>
      </c>
      <c r="H58" s="186"/>
      <c r="I58" s="3"/>
    </row>
    <row r="59" spans="1:11" ht="13.8" thickBot="1" x14ac:dyDescent="0.3">
      <c r="A59" s="59"/>
      <c r="B59" s="119">
        <v>29</v>
      </c>
      <c r="C59" s="122">
        <f t="shared" ca="1" si="0"/>
        <v>45839</v>
      </c>
      <c r="D59" s="158">
        <f t="shared" si="1"/>
        <v>1825.5500748478257</v>
      </c>
      <c r="E59" s="149">
        <v>0</v>
      </c>
      <c r="F59" s="149">
        <f t="shared" si="2"/>
        <v>7799.2184711840191</v>
      </c>
      <c r="G59" s="186">
        <f t="shared" si="3"/>
        <v>9624.7685460318444</v>
      </c>
      <c r="H59" s="186"/>
      <c r="I59" s="3"/>
    </row>
    <row r="60" spans="1:11" ht="13.8" thickBot="1" x14ac:dyDescent="0.3">
      <c r="A60" s="59">
        <v>25</v>
      </c>
      <c r="B60" s="119">
        <v>30</v>
      </c>
      <c r="C60" s="122">
        <f t="shared" ca="1" si="0"/>
        <v>45870</v>
      </c>
      <c r="D60" s="158">
        <f t="shared" si="1"/>
        <v>1922.8975325890863</v>
      </c>
      <c r="E60" s="149">
        <v>0</v>
      </c>
      <c r="F60" s="149">
        <f t="shared" si="2"/>
        <v>7701.8710134427592</v>
      </c>
      <c r="G60" s="186">
        <f t="shared" si="3"/>
        <v>9624.7685460318462</v>
      </c>
      <c r="H60" s="186"/>
      <c r="I60" s="124"/>
      <c r="J60" s="124"/>
    </row>
    <row r="61" spans="1:11" ht="13.8" thickBot="1" x14ac:dyDescent="0.3">
      <c r="A61" s="59"/>
      <c r="B61" s="119">
        <v>31</v>
      </c>
      <c r="C61" s="122">
        <f t="shared" ca="1" si="0"/>
        <v>45901</v>
      </c>
      <c r="D61" s="158">
        <f t="shared" si="1"/>
        <v>2025.4360435143988</v>
      </c>
      <c r="E61" s="149">
        <v>0</v>
      </c>
      <c r="F61" s="149">
        <f t="shared" si="2"/>
        <v>7599.3325025174454</v>
      </c>
      <c r="G61" s="186">
        <f t="shared" si="3"/>
        <v>9624.7685460318444</v>
      </c>
      <c r="H61" s="186"/>
      <c r="I61" s="124"/>
      <c r="J61" s="124"/>
    </row>
    <row r="62" spans="1:11" ht="13.8" thickBot="1" x14ac:dyDescent="0.3">
      <c r="A62" s="59"/>
      <c r="B62" s="119">
        <v>32</v>
      </c>
      <c r="C62" s="122">
        <f t="shared" ca="1" si="0"/>
        <v>45931</v>
      </c>
      <c r="D62" s="158">
        <f t="shared" si="1"/>
        <v>2133.4424205348046</v>
      </c>
      <c r="E62" s="149">
        <v>0</v>
      </c>
      <c r="F62" s="149">
        <f t="shared" si="2"/>
        <v>7491.3261254970412</v>
      </c>
      <c r="G62" s="186">
        <f t="shared" si="3"/>
        <v>9624.7685460318462</v>
      </c>
      <c r="H62" s="186"/>
      <c r="I62" s="124"/>
      <c r="J62" s="124"/>
    </row>
    <row r="63" spans="1:11" ht="13.8" thickBot="1" x14ac:dyDescent="0.3">
      <c r="A63" s="59"/>
      <c r="B63" s="119">
        <v>33</v>
      </c>
      <c r="C63" s="122">
        <f t="shared" ca="1" si="0"/>
        <v>45962</v>
      </c>
      <c r="D63" s="158">
        <f t="shared" si="1"/>
        <v>2247.2082376098228</v>
      </c>
      <c r="E63" s="149">
        <v>0</v>
      </c>
      <c r="F63" s="149">
        <f t="shared" si="2"/>
        <v>7377.560308422022</v>
      </c>
      <c r="G63" s="186">
        <f t="shared" si="3"/>
        <v>9624.7685460318444</v>
      </c>
      <c r="H63" s="186"/>
      <c r="I63" s="124"/>
      <c r="J63" s="124"/>
    </row>
    <row r="64" spans="1:11" ht="13.8" thickBot="1" x14ac:dyDescent="0.3">
      <c r="A64" s="59"/>
      <c r="B64" s="119">
        <v>34</v>
      </c>
      <c r="C64" s="122">
        <f t="shared" ca="1" si="0"/>
        <v>45992</v>
      </c>
      <c r="D64" s="158">
        <f t="shared" si="1"/>
        <v>2367.040616880367</v>
      </c>
      <c r="E64" s="149">
        <v>0</v>
      </c>
      <c r="F64" s="149">
        <f t="shared" si="2"/>
        <v>7257.7279291514778</v>
      </c>
      <c r="G64" s="186">
        <f t="shared" si="3"/>
        <v>9624.7685460318444</v>
      </c>
      <c r="H64" s="186"/>
      <c r="I64" s="124"/>
      <c r="J64" s="124"/>
    </row>
    <row r="65" spans="1:10" ht="13.8" thickBot="1" x14ac:dyDescent="0.3">
      <c r="A65" s="59"/>
      <c r="B65" s="119">
        <v>35</v>
      </c>
      <c r="C65" s="122">
        <f t="shared" ca="1" si="0"/>
        <v>46023</v>
      </c>
      <c r="D65" s="158">
        <f t="shared" si="1"/>
        <v>2493.2630577755122</v>
      </c>
      <c r="E65" s="149">
        <v>0</v>
      </c>
      <c r="F65" s="149">
        <f t="shared" si="2"/>
        <v>7131.5054882563318</v>
      </c>
      <c r="G65" s="186">
        <f t="shared" si="3"/>
        <v>9624.7685460318444</v>
      </c>
      <c r="H65" s="186"/>
      <c r="I65" s="124"/>
      <c r="J65" s="124"/>
    </row>
    <row r="66" spans="1:10" ht="13.8" thickBot="1" x14ac:dyDescent="0.3">
      <c r="A66" s="59"/>
      <c r="B66" s="119">
        <v>36</v>
      </c>
      <c r="C66" s="122">
        <f t="shared" ca="1" si="0"/>
        <v>46054</v>
      </c>
      <c r="D66" s="158">
        <f t="shared" si="1"/>
        <v>2626.2163103313915</v>
      </c>
      <c r="E66" s="149">
        <v>0</v>
      </c>
      <c r="F66" s="149">
        <f t="shared" si="2"/>
        <v>6998.5522357004529</v>
      </c>
      <c r="G66" s="186">
        <f t="shared" si="3"/>
        <v>9624.7685460318444</v>
      </c>
      <c r="H66" s="186"/>
      <c r="I66" s="124"/>
      <c r="J66" s="124"/>
    </row>
    <row r="67" spans="1:10" ht="13.8" thickBot="1" x14ac:dyDescent="0.3">
      <c r="A67" s="59"/>
      <c r="B67" s="119">
        <v>37</v>
      </c>
      <c r="C67" s="122">
        <f t="shared" ca="1" si="0"/>
        <v>46082</v>
      </c>
      <c r="D67" s="158">
        <f t="shared" si="1"/>
        <v>2766.2592950798135</v>
      </c>
      <c r="E67" s="149">
        <v>0</v>
      </c>
      <c r="F67" s="149">
        <f t="shared" si="2"/>
        <v>6858.5092509520318</v>
      </c>
      <c r="G67" s="186">
        <f t="shared" si="3"/>
        <v>9624.7685460318462</v>
      </c>
      <c r="H67" s="186"/>
      <c r="I67" s="124"/>
      <c r="J67" s="124"/>
    </row>
    <row r="68" spans="1:10" ht="13.8" thickBot="1" x14ac:dyDescent="0.3">
      <c r="A68" s="59"/>
      <c r="B68" s="119">
        <v>38</v>
      </c>
      <c r="C68" s="122">
        <f t="shared" ca="1" si="0"/>
        <v>46113</v>
      </c>
      <c r="D68" s="158">
        <f t="shared" si="1"/>
        <v>2913.7700719899435</v>
      </c>
      <c r="E68" s="149">
        <v>0</v>
      </c>
      <c r="F68" s="149">
        <f t="shared" si="2"/>
        <v>6710.9984740419013</v>
      </c>
      <c r="G68" s="186">
        <f t="shared" si="3"/>
        <v>9624.7685460318444</v>
      </c>
      <c r="H68" s="186"/>
      <c r="I68" s="124"/>
      <c r="J68" s="124"/>
    </row>
    <row r="69" spans="1:10" ht="13.8" thickBot="1" x14ac:dyDescent="0.3">
      <c r="A69" s="59"/>
      <c r="B69" s="119">
        <v>39</v>
      </c>
      <c r="C69" s="122">
        <f t="shared" ca="1" si="0"/>
        <v>46143</v>
      </c>
      <c r="D69" s="158">
        <f t="shared" si="1"/>
        <v>3069.146861078807</v>
      </c>
      <c r="E69" s="149">
        <v>0</v>
      </c>
      <c r="F69" s="149">
        <f t="shared" si="2"/>
        <v>6555.6216849530374</v>
      </c>
      <c r="G69" s="186">
        <f t="shared" si="3"/>
        <v>9624.7685460318444</v>
      </c>
      <c r="H69" s="186"/>
      <c r="I69" s="124"/>
      <c r="J69" s="124"/>
    </row>
    <row r="70" spans="1:10" ht="13.8" thickBot="1" x14ac:dyDescent="0.3">
      <c r="A70" s="59"/>
      <c r="B70" s="119">
        <v>40</v>
      </c>
      <c r="C70" s="122">
        <f t="shared" ca="1" si="0"/>
        <v>46174</v>
      </c>
      <c r="D70" s="158">
        <f t="shared" si="1"/>
        <v>3232.8091174458345</v>
      </c>
      <c r="E70" s="149">
        <v>0</v>
      </c>
      <c r="F70" s="149">
        <f t="shared" si="2"/>
        <v>6391.9594285860103</v>
      </c>
      <c r="G70" s="186">
        <f t="shared" si="3"/>
        <v>9624.7685460318444</v>
      </c>
      <c r="H70" s="186"/>
      <c r="I70" s="124"/>
      <c r="J70" s="124"/>
    </row>
    <row r="71" spans="1:10" ht="13.8" thickBot="1" x14ac:dyDescent="0.3">
      <c r="A71" s="59"/>
      <c r="B71" s="119">
        <v>41</v>
      </c>
      <c r="C71" s="122">
        <f t="shared" ca="1" si="0"/>
        <v>46204</v>
      </c>
      <c r="D71" s="158">
        <f t="shared" si="1"/>
        <v>3405.1986636336337</v>
      </c>
      <c r="E71" s="149">
        <v>0</v>
      </c>
      <c r="F71" s="149">
        <f t="shared" si="2"/>
        <v>6219.569882398212</v>
      </c>
      <c r="G71" s="186">
        <f t="shared" si="3"/>
        <v>9624.7685460318462</v>
      </c>
      <c r="H71" s="186"/>
      <c r="I71" s="124"/>
      <c r="J71" s="124"/>
    </row>
    <row r="72" spans="1:10" ht="13.8" thickBot="1" x14ac:dyDescent="0.3">
      <c r="A72" s="59"/>
      <c r="B72" s="119">
        <v>42</v>
      </c>
      <c r="C72" s="122">
        <f t="shared" ca="1" si="0"/>
        <v>46235</v>
      </c>
      <c r="D72" s="158">
        <f t="shared" si="1"/>
        <v>3586.7808823718974</v>
      </c>
      <c r="E72" s="149">
        <v>0</v>
      </c>
      <c r="F72" s="149">
        <f t="shared" si="2"/>
        <v>6037.9876636599474</v>
      </c>
      <c r="G72" s="186">
        <f t="shared" si="3"/>
        <v>9624.7685460318444</v>
      </c>
      <c r="H72" s="186"/>
      <c r="I72" s="124"/>
      <c r="J72" s="124"/>
    </row>
    <row r="73" spans="1:10" ht="13.8" thickBot="1" x14ac:dyDescent="0.3">
      <c r="A73" s="59"/>
      <c r="B73" s="119">
        <v>43</v>
      </c>
      <c r="C73" s="122">
        <f t="shared" ca="1" si="0"/>
        <v>46266</v>
      </c>
      <c r="D73" s="158">
        <f t="shared" si="1"/>
        <v>3778.0459729243794</v>
      </c>
      <c r="E73" s="149">
        <v>0</v>
      </c>
      <c r="F73" s="149">
        <f t="shared" si="2"/>
        <v>5846.7225731074659</v>
      </c>
      <c r="G73" s="186">
        <f t="shared" si="3"/>
        <v>9624.7685460318462</v>
      </c>
      <c r="H73" s="186"/>
      <c r="I73" s="124"/>
      <c r="J73" s="124"/>
    </row>
    <row r="74" spans="1:10" ht="13.8" thickBot="1" x14ac:dyDescent="0.3">
      <c r="A74" s="59"/>
      <c r="B74" s="119">
        <v>44</v>
      </c>
      <c r="C74" s="122">
        <f t="shared" ca="1" si="0"/>
        <v>46296</v>
      </c>
      <c r="D74" s="158">
        <f t="shared" si="1"/>
        <v>3979.5102744305709</v>
      </c>
      <c r="E74" s="149">
        <v>0</v>
      </c>
      <c r="F74" s="149">
        <f t="shared" si="2"/>
        <v>5645.258271601273</v>
      </c>
      <c r="G74" s="186">
        <f t="shared" si="3"/>
        <v>9624.7685460318444</v>
      </c>
      <c r="H74" s="186"/>
      <c r="I74" s="124"/>
      <c r="J74" s="124"/>
    </row>
    <row r="75" spans="1:10" ht="13.8" thickBot="1" x14ac:dyDescent="0.3">
      <c r="A75" s="59"/>
      <c r="B75" s="119">
        <v>45</v>
      </c>
      <c r="C75" s="122">
        <f t="shared" ca="1" si="0"/>
        <v>46327</v>
      </c>
      <c r="D75" s="158">
        <f t="shared" si="1"/>
        <v>4191.7176598145816</v>
      </c>
      <c r="E75" s="149">
        <v>0</v>
      </c>
      <c r="F75" s="149">
        <f t="shared" si="2"/>
        <v>5433.0508862172628</v>
      </c>
      <c r="G75" s="186">
        <f t="shared" si="3"/>
        <v>9624.7685460318444</v>
      </c>
      <c r="H75" s="186"/>
      <c r="I75" s="124"/>
      <c r="J75" s="124"/>
    </row>
    <row r="76" spans="1:10" ht="13.8" thickBot="1" x14ac:dyDescent="0.3">
      <c r="A76" s="59"/>
      <c r="B76" s="119">
        <v>46</v>
      </c>
      <c r="C76" s="122">
        <f t="shared" ca="1" si="0"/>
        <v>46357</v>
      </c>
      <c r="D76" s="158">
        <f t="shared" si="1"/>
        <v>4415.2410040241948</v>
      </c>
      <c r="E76" s="149">
        <v>0</v>
      </c>
      <c r="F76" s="149">
        <f t="shared" si="2"/>
        <v>5209.5275420076514</v>
      </c>
      <c r="G76" s="186">
        <f t="shared" si="3"/>
        <v>9624.7685460318462</v>
      </c>
      <c r="H76" s="186"/>
      <c r="I76" s="124"/>
      <c r="J76" s="124"/>
    </row>
    <row r="77" spans="1:10" ht="13.8" thickBot="1" x14ac:dyDescent="0.3">
      <c r="A77" s="59"/>
      <c r="B77" s="119">
        <v>47</v>
      </c>
      <c r="C77" s="122">
        <f t="shared" ca="1" si="0"/>
        <v>46388</v>
      </c>
      <c r="D77" s="158">
        <f t="shared" si="1"/>
        <v>4650.6837305637846</v>
      </c>
      <c r="E77" s="149">
        <v>0</v>
      </c>
      <c r="F77" s="149">
        <f t="shared" si="2"/>
        <v>4974.0848154680598</v>
      </c>
      <c r="G77" s="186">
        <f t="shared" si="3"/>
        <v>9624.7685460318444</v>
      </c>
      <c r="H77" s="186"/>
      <c r="I77" s="124"/>
      <c r="J77" s="124"/>
    </row>
    <row r="78" spans="1:10" ht="13.8" thickBot="1" x14ac:dyDescent="0.3">
      <c r="A78" s="59"/>
      <c r="B78" s="119">
        <v>48</v>
      </c>
      <c r="C78" s="122">
        <f t="shared" ca="1" si="0"/>
        <v>46419</v>
      </c>
      <c r="D78" s="158">
        <f t="shared" si="1"/>
        <v>4898.6814404960987</v>
      </c>
      <c r="E78" s="149">
        <v>0</v>
      </c>
      <c r="F78" s="149">
        <f t="shared" si="2"/>
        <v>4726.0871055357466</v>
      </c>
      <c r="G78" s="186">
        <f t="shared" si="3"/>
        <v>9624.7685460318462</v>
      </c>
      <c r="H78" s="186"/>
      <c r="I78" s="124"/>
      <c r="J78" s="124"/>
    </row>
    <row r="79" spans="1:10" ht="13.8" thickBot="1" x14ac:dyDescent="0.3">
      <c r="A79" s="59"/>
      <c r="B79" s="119">
        <v>49</v>
      </c>
      <c r="C79" s="122">
        <f t="shared" ca="1" si="0"/>
        <v>46447</v>
      </c>
      <c r="D79" s="158">
        <f t="shared" si="1"/>
        <v>5159.9036283105524</v>
      </c>
      <c r="E79" s="149">
        <v>0</v>
      </c>
      <c r="F79" s="149">
        <f t="shared" si="2"/>
        <v>4464.864917721291</v>
      </c>
      <c r="G79" s="186">
        <f t="shared" si="3"/>
        <v>9624.7685460318426</v>
      </c>
      <c r="H79" s="186"/>
      <c r="I79" s="124"/>
      <c r="J79" s="124"/>
    </row>
    <row r="80" spans="1:10" ht="13.8" thickBot="1" x14ac:dyDescent="0.3">
      <c r="A80" s="59"/>
      <c r="B80" s="119">
        <v>50</v>
      </c>
      <c r="C80" s="122">
        <f t="shared" ca="1" si="0"/>
        <v>46478</v>
      </c>
      <c r="D80" s="158">
        <f t="shared" si="1"/>
        <v>5435.0554892902128</v>
      </c>
      <c r="E80" s="149">
        <v>0</v>
      </c>
      <c r="F80" s="149">
        <f t="shared" si="2"/>
        <v>4189.7130567416316</v>
      </c>
      <c r="G80" s="186">
        <f t="shared" si="3"/>
        <v>9624.7685460318444</v>
      </c>
      <c r="H80" s="186"/>
      <c r="I80" s="124"/>
      <c r="J80" s="124"/>
    </row>
    <row r="81" spans="1:10" ht="13.8" thickBot="1" x14ac:dyDescent="0.3">
      <c r="A81" s="59"/>
      <c r="B81" s="119">
        <v>51</v>
      </c>
      <c r="C81" s="122">
        <f t="shared" ca="1" si="0"/>
        <v>46508</v>
      </c>
      <c r="D81" s="158">
        <f t="shared" si="1"/>
        <v>5724.8798232566141</v>
      </c>
      <c r="E81" s="149">
        <v>0</v>
      </c>
      <c r="F81" s="149">
        <f t="shared" si="2"/>
        <v>3899.8887227752311</v>
      </c>
      <c r="G81" s="186">
        <f t="shared" si="3"/>
        <v>9624.7685460318462</v>
      </c>
      <c r="H81" s="186"/>
      <c r="I81" s="124"/>
      <c r="J81" s="124"/>
    </row>
    <row r="82" spans="1:10" ht="13.8" thickBot="1" x14ac:dyDescent="0.3">
      <c r="A82" s="59"/>
      <c r="B82" s="119">
        <v>52</v>
      </c>
      <c r="C82" s="122">
        <f t="shared" ca="1" si="0"/>
        <v>46539</v>
      </c>
      <c r="D82" s="158">
        <f t="shared" si="1"/>
        <v>6030.1590398317721</v>
      </c>
      <c r="E82" s="149">
        <v>0</v>
      </c>
      <c r="F82" s="149">
        <f t="shared" si="2"/>
        <v>3594.6095062000727</v>
      </c>
      <c r="G82" s="186">
        <f t="shared" si="3"/>
        <v>9624.7685460318444</v>
      </c>
      <c r="H82" s="186"/>
      <c r="I82" s="124"/>
      <c r="J82" s="124"/>
    </row>
    <row r="83" spans="1:10" ht="13.8" thickBot="1" x14ac:dyDescent="0.3">
      <c r="A83" s="59"/>
      <c r="B83" s="119">
        <v>53</v>
      </c>
      <c r="C83" s="122">
        <f t="shared" ca="1" si="0"/>
        <v>46569</v>
      </c>
      <c r="D83" s="158">
        <f t="shared" si="1"/>
        <v>6351.717270630802</v>
      </c>
      <c r="E83" s="149">
        <v>0</v>
      </c>
      <c r="F83" s="149">
        <f t="shared" si="2"/>
        <v>3273.0512754010438</v>
      </c>
      <c r="G83" s="186">
        <f t="shared" si="3"/>
        <v>9624.7685460318462</v>
      </c>
      <c r="H83" s="186"/>
      <c r="I83" s="124"/>
      <c r="J83" s="124"/>
    </row>
    <row r="84" spans="1:10" ht="13.8" thickBot="1" x14ac:dyDescent="0.3">
      <c r="A84" s="59"/>
      <c r="B84" s="119">
        <v>54</v>
      </c>
      <c r="C84" s="122">
        <f t="shared" ca="1" si="0"/>
        <v>46600</v>
      </c>
      <c r="D84" s="158">
        <f t="shared" si="1"/>
        <v>6690.4225940871893</v>
      </c>
      <c r="E84" s="149">
        <v>0</v>
      </c>
      <c r="F84" s="149">
        <f t="shared" si="2"/>
        <v>2934.3459519446556</v>
      </c>
      <c r="G84" s="186">
        <f t="shared" si="3"/>
        <v>9624.7685460318444</v>
      </c>
      <c r="H84" s="186"/>
      <c r="I84" s="124"/>
      <c r="J84" s="124"/>
    </row>
    <row r="85" spans="1:10" ht="13.8" thickBot="1" x14ac:dyDescent="0.3">
      <c r="A85" s="59"/>
      <c r="B85" s="119">
        <v>55</v>
      </c>
      <c r="C85" s="122">
        <f t="shared" ca="1" si="0"/>
        <v>46631</v>
      </c>
      <c r="D85" s="158">
        <f t="shared" si="1"/>
        <v>7047.189378916888</v>
      </c>
      <c r="E85" s="149">
        <v>0</v>
      </c>
      <c r="F85" s="149">
        <f t="shared" si="2"/>
        <v>2577.5791671149564</v>
      </c>
      <c r="G85" s="186">
        <f t="shared" si="3"/>
        <v>9624.7685460318444</v>
      </c>
      <c r="H85" s="186"/>
      <c r="I85" s="124"/>
      <c r="J85" s="124"/>
    </row>
    <row r="86" spans="1:10" ht="13.8" thickBot="1" x14ac:dyDescent="0.3">
      <c r="A86" s="59"/>
      <c r="B86" s="119">
        <v>56</v>
      </c>
      <c r="C86" s="122">
        <f t="shared" ca="1" si="0"/>
        <v>46661</v>
      </c>
      <c r="D86" s="158">
        <f t="shared" si="1"/>
        <v>7422.9807525476317</v>
      </c>
      <c r="E86" s="149">
        <v>0</v>
      </c>
      <c r="F86" s="149">
        <f t="shared" si="2"/>
        <v>2201.7877934842136</v>
      </c>
      <c r="G86" s="186">
        <f t="shared" si="3"/>
        <v>9624.7685460318462</v>
      </c>
      <c r="H86" s="186"/>
      <c r="I86" s="124"/>
      <c r="J86" s="124"/>
    </row>
    <row r="87" spans="1:10" ht="13.8" thickBot="1" x14ac:dyDescent="0.3">
      <c r="A87" s="59"/>
      <c r="B87" s="119">
        <v>57</v>
      </c>
      <c r="C87" s="122">
        <f t="shared" ca="1" si="0"/>
        <v>46692</v>
      </c>
      <c r="D87" s="158">
        <f t="shared" si="1"/>
        <v>7818.8112011772337</v>
      </c>
      <c r="E87" s="149">
        <v>0</v>
      </c>
      <c r="F87" s="149">
        <f t="shared" si="2"/>
        <v>1805.9573448546109</v>
      </c>
      <c r="G87" s="186">
        <f t="shared" si="3"/>
        <v>9624.7685460318444</v>
      </c>
      <c r="H87" s="186"/>
      <c r="I87" s="124"/>
      <c r="J87" s="124"/>
    </row>
    <row r="88" spans="1:10" ht="13.8" thickBot="1" x14ac:dyDescent="0.3">
      <c r="A88" s="59"/>
      <c r="B88" s="119">
        <v>58</v>
      </c>
      <c r="C88" s="122">
        <f t="shared" ca="1" si="0"/>
        <v>46722</v>
      </c>
      <c r="D88" s="158">
        <f t="shared" si="1"/>
        <v>8235.7493084800099</v>
      </c>
      <c r="E88" s="149">
        <v>0</v>
      </c>
      <c r="F88" s="149">
        <f t="shared" si="2"/>
        <v>1389.0192375518352</v>
      </c>
      <c r="G88" s="186">
        <f t="shared" si="3"/>
        <v>9624.7685460318444</v>
      </c>
      <c r="H88" s="186"/>
      <c r="I88" s="124"/>
      <c r="J88" s="124"/>
    </row>
    <row r="89" spans="1:10" ht="13.8" thickBot="1" x14ac:dyDescent="0.3">
      <c r="A89" s="59"/>
      <c r="B89" s="119">
        <v>59</v>
      </c>
      <c r="C89" s="122">
        <f t="shared" ca="1" si="0"/>
        <v>46753</v>
      </c>
      <c r="D89" s="158">
        <f t="shared" si="1"/>
        <v>8674.9206403547068</v>
      </c>
      <c r="E89" s="149">
        <v>0</v>
      </c>
      <c r="F89" s="149">
        <f t="shared" si="2"/>
        <v>949.84790567713878</v>
      </c>
      <c r="G89" s="186">
        <f t="shared" si="3"/>
        <v>9624.7685460318462</v>
      </c>
      <c r="H89" s="186"/>
      <c r="I89" s="124"/>
      <c r="J89" s="124"/>
    </row>
    <row r="90" spans="1:10" ht="13.8" thickBot="1" x14ac:dyDescent="0.3">
      <c r="A90" s="59"/>
      <c r="B90" s="147">
        <v>60</v>
      </c>
      <c r="C90" s="148">
        <f t="shared" ca="1" si="0"/>
        <v>46784</v>
      </c>
      <c r="D90" s="158">
        <f t="shared" si="1"/>
        <v>9137.5107835016224</v>
      </c>
      <c r="E90" s="149">
        <v>0</v>
      </c>
      <c r="F90" s="149">
        <f t="shared" si="2"/>
        <v>487.25776253022406</v>
      </c>
      <c r="G90" s="186">
        <f t="shared" si="3"/>
        <v>9624.7685460318462</v>
      </c>
      <c r="H90" s="186"/>
      <c r="I90" s="124"/>
      <c r="J90" s="124"/>
    </row>
    <row r="91" spans="1:10" ht="16.2" thickBot="1" x14ac:dyDescent="0.3">
      <c r="A91" s="59"/>
      <c r="B91" s="187" t="s">
        <v>1</v>
      </c>
      <c r="C91" s="188"/>
      <c r="D91" s="151">
        <f>SUM(D31:D90)</f>
        <v>172499.50000000003</v>
      </c>
      <c r="E91" s="151">
        <f>SUM(E31:E90)</f>
        <v>0</v>
      </c>
      <c r="F91" s="151">
        <f>SUM(F31:F90)</f>
        <v>404986.61276191083</v>
      </c>
      <c r="G91" s="189">
        <f>SUM(G31:H90)</f>
        <v>577486.11276191054</v>
      </c>
      <c r="H91" s="190"/>
      <c r="I91" s="124"/>
      <c r="J91" s="124"/>
    </row>
    <row r="92" spans="1:10" x14ac:dyDescent="0.25">
      <c r="A92" s="59"/>
      <c r="B92" s="2"/>
      <c r="C92" s="2"/>
      <c r="D92" s="2"/>
      <c r="E92" s="2"/>
      <c r="F92" s="2"/>
      <c r="G92" s="46"/>
      <c r="I92" s="124"/>
      <c r="J92" s="124"/>
    </row>
    <row r="93" spans="1:10" x14ac:dyDescent="0.25">
      <c r="A93" s="59"/>
      <c r="B93" s="2"/>
      <c r="C93" s="33"/>
      <c r="D93" s="34"/>
      <c r="E93" s="191" t="s">
        <v>3</v>
      </c>
      <c r="F93" s="191"/>
      <c r="G93" s="191"/>
      <c r="I93" s="124"/>
      <c r="J93" s="124"/>
    </row>
    <row r="94" spans="1:10" x14ac:dyDescent="0.25">
      <c r="A94" s="59"/>
      <c r="B94" s="2"/>
      <c r="C94" s="35"/>
      <c r="D94" s="2"/>
      <c r="E94" s="36" t="s">
        <v>4</v>
      </c>
      <c r="F94" s="37"/>
      <c r="G94" s="50"/>
      <c r="I94" s="124"/>
      <c r="J94" s="124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124"/>
      <c r="J95" s="124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  <row r="97" spans="1:9" x14ac:dyDescent="0.25">
      <c r="A97" s="59"/>
      <c r="B97" s="60"/>
      <c r="C97" s="60"/>
      <c r="D97" s="60"/>
      <c r="E97" s="60"/>
      <c r="F97" s="60"/>
      <c r="G97" s="125"/>
      <c r="H97" s="61"/>
      <c r="I97" s="62"/>
    </row>
    <row r="98" spans="1:9" x14ac:dyDescent="0.25">
      <c r="A98" s="59"/>
      <c r="B98" s="60"/>
      <c r="C98" s="60"/>
      <c r="D98" s="60"/>
      <c r="E98" s="60"/>
      <c r="F98" s="60"/>
      <c r="G98" s="125"/>
      <c r="H98" s="61"/>
      <c r="I98" s="62"/>
    </row>
  </sheetData>
  <sheetProtection password="B631" sheet="1" objects="1" scenarios="1" selectLockedCells="1"/>
  <dataConsolidate/>
  <mergeCells count="88">
    <mergeCell ref="B7:E7"/>
    <mergeCell ref="B91:C91"/>
    <mergeCell ref="G91:H91"/>
    <mergeCell ref="E93:G93"/>
    <mergeCell ref="B9:E9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8:H78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66:H66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54:H54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42:H42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30:H30"/>
    <mergeCell ref="B17:E17"/>
    <mergeCell ref="G17:H17"/>
    <mergeCell ref="B20:E20"/>
    <mergeCell ref="G20:H20"/>
    <mergeCell ref="B22:E22"/>
    <mergeCell ref="G22:H22"/>
    <mergeCell ref="B24:E24"/>
    <mergeCell ref="G24:H24"/>
    <mergeCell ref="B26:E26"/>
    <mergeCell ref="B28:H28"/>
    <mergeCell ref="G29:H29"/>
    <mergeCell ref="B11:E11"/>
    <mergeCell ref="G11:H11"/>
    <mergeCell ref="B13:E13"/>
    <mergeCell ref="G13:H13"/>
    <mergeCell ref="B15:E15"/>
    <mergeCell ref="G15:H15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$K$13:$K$18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9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9"/>
  <sheetViews>
    <sheetView zoomScale="85" zoomScaleNormal="85" workbookViewId="0">
      <selection activeCell="K4" sqref="K4"/>
    </sheetView>
  </sheetViews>
  <sheetFormatPr defaultColWidth="9.109375" defaultRowHeight="13.2" x14ac:dyDescent="0.25"/>
  <cols>
    <col min="1" max="1" width="31" style="128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s="140" customFormat="1" x14ac:dyDescent="0.25">
      <c r="A4" s="135" t="s">
        <v>47</v>
      </c>
      <c r="B4" s="135">
        <v>150000</v>
      </c>
      <c r="C4" s="135">
        <v>60</v>
      </c>
      <c r="D4" s="136">
        <v>0.63990000000000002</v>
      </c>
      <c r="E4" s="136">
        <v>0.15</v>
      </c>
      <c r="F4" s="136">
        <v>0</v>
      </c>
      <c r="G4" s="135" t="str">
        <f>I$2&amp;" "&amp;H4&amp;" "&amp;H$2</f>
        <v>max. 172500 грн.</v>
      </c>
      <c r="H4" s="135">
        <f>B4+B4*E4</f>
        <v>172500</v>
      </c>
      <c r="I4" s="135"/>
      <c r="J4" s="135">
        <v>1</v>
      </c>
      <c r="K4" s="137">
        <f t="shared" ref="K4:K9" si="0">D4/12/(1-1/POWER(1+D4/12,C4))*H4+H4*F4</f>
        <v>9624.7964439925527</v>
      </c>
      <c r="L4" s="138">
        <v>0</v>
      </c>
      <c r="M4" s="139">
        <v>3.5E-4</v>
      </c>
      <c r="N4" s="135">
        <v>869</v>
      </c>
    </row>
    <row r="5" spans="1:14" s="140" customFormat="1" x14ac:dyDescent="0.25">
      <c r="A5" s="135" t="s">
        <v>48</v>
      </c>
      <c r="B5" s="135">
        <v>150000</v>
      </c>
      <c r="C5" s="135">
        <v>48</v>
      </c>
      <c r="D5" s="136">
        <v>0.63990000000000002</v>
      </c>
      <c r="E5" s="136">
        <v>0.15</v>
      </c>
      <c r="F5" s="136">
        <v>0</v>
      </c>
      <c r="G5" s="135" t="str">
        <f t="shared" ref="G5:G9" si="1">I$2&amp;" "&amp;H5&amp;" "&amp;H$2</f>
        <v>max. 172500 грн.</v>
      </c>
      <c r="H5" s="135">
        <f t="shared" ref="H5:H9" si="2">B5+B5*E5</f>
        <v>172500</v>
      </c>
      <c r="I5" s="135"/>
      <c r="J5" s="135">
        <v>1</v>
      </c>
      <c r="K5" s="137">
        <f t="shared" si="0"/>
        <v>10026.826288383021</v>
      </c>
      <c r="L5" s="138">
        <v>0</v>
      </c>
      <c r="M5" s="139">
        <v>5.0000000000000001E-4</v>
      </c>
      <c r="N5" s="135">
        <v>869</v>
      </c>
    </row>
    <row r="6" spans="1:14" s="140" customFormat="1" x14ac:dyDescent="0.25">
      <c r="A6" s="135" t="s">
        <v>49</v>
      </c>
      <c r="B6" s="135">
        <v>150000</v>
      </c>
      <c r="C6" s="135">
        <v>36</v>
      </c>
      <c r="D6" s="136">
        <v>0.63990000000000002</v>
      </c>
      <c r="E6" s="136">
        <v>0.15</v>
      </c>
      <c r="F6" s="136">
        <v>0</v>
      </c>
      <c r="G6" s="135" t="str">
        <f t="shared" si="1"/>
        <v>max. 172500 грн.</v>
      </c>
      <c r="H6" s="135">
        <f t="shared" si="2"/>
        <v>172500</v>
      </c>
      <c r="I6" s="135"/>
      <c r="J6" s="135">
        <v>1</v>
      </c>
      <c r="K6" s="137">
        <f t="shared" si="0"/>
        <v>10874.068338913716</v>
      </c>
      <c r="L6" s="138">
        <v>0</v>
      </c>
      <c r="M6" s="139">
        <v>1E-3</v>
      </c>
      <c r="N6" s="135">
        <v>869</v>
      </c>
    </row>
    <row r="7" spans="1:14" s="140" customFormat="1" x14ac:dyDescent="0.25">
      <c r="A7" s="135" t="s">
        <v>50</v>
      </c>
      <c r="B7" s="135">
        <v>150000</v>
      </c>
      <c r="C7" s="135">
        <v>24</v>
      </c>
      <c r="D7" s="136">
        <v>0.63990000000000002</v>
      </c>
      <c r="E7" s="136">
        <v>0.15</v>
      </c>
      <c r="F7" s="136">
        <v>0</v>
      </c>
      <c r="G7" s="135" t="str">
        <f t="shared" si="1"/>
        <v>max. 172500 грн.</v>
      </c>
      <c r="H7" s="135">
        <f t="shared" si="2"/>
        <v>172500</v>
      </c>
      <c r="I7" s="135"/>
      <c r="J7" s="135">
        <v>1</v>
      </c>
      <c r="K7" s="137">
        <f t="shared" si="0"/>
        <v>12908.641189981417</v>
      </c>
      <c r="L7" s="138">
        <v>0</v>
      </c>
      <c r="M7" s="139">
        <v>1E-3</v>
      </c>
      <c r="N7" s="135">
        <v>869</v>
      </c>
    </row>
    <row r="8" spans="1:14" s="140" customFormat="1" x14ac:dyDescent="0.25">
      <c r="A8" s="135" t="s">
        <v>51</v>
      </c>
      <c r="B8" s="135">
        <v>150000</v>
      </c>
      <c r="C8" s="135">
        <v>18</v>
      </c>
      <c r="D8" s="136">
        <v>0.63990000000000002</v>
      </c>
      <c r="E8" s="136">
        <v>0.15</v>
      </c>
      <c r="F8" s="136">
        <v>0</v>
      </c>
      <c r="G8" s="135" t="str">
        <f t="shared" si="1"/>
        <v>max. 172500 грн.</v>
      </c>
      <c r="H8" s="135">
        <f t="shared" si="2"/>
        <v>172500</v>
      </c>
      <c r="I8" s="135"/>
      <c r="J8" s="135">
        <v>1</v>
      </c>
      <c r="K8" s="137">
        <f t="shared" si="0"/>
        <v>15142.50657726234</v>
      </c>
      <c r="L8" s="138">
        <v>0</v>
      </c>
      <c r="M8" s="139">
        <v>1E-3</v>
      </c>
      <c r="N8" s="135">
        <v>869</v>
      </c>
    </row>
    <row r="9" spans="1:14" s="140" customFormat="1" x14ac:dyDescent="0.25">
      <c r="A9" s="135" t="s">
        <v>52</v>
      </c>
      <c r="B9" s="135">
        <v>150000</v>
      </c>
      <c r="C9" s="135">
        <v>12</v>
      </c>
      <c r="D9" s="136">
        <v>0.63990000000000002</v>
      </c>
      <c r="E9" s="136">
        <v>0.15</v>
      </c>
      <c r="F9" s="136">
        <v>0</v>
      </c>
      <c r="G9" s="135" t="str">
        <f t="shared" si="1"/>
        <v>max. 172500 грн.</v>
      </c>
      <c r="H9" s="135">
        <f t="shared" si="2"/>
        <v>172500</v>
      </c>
      <c r="I9" s="135"/>
      <c r="J9" s="135">
        <v>1</v>
      </c>
      <c r="K9" s="137">
        <f t="shared" si="0"/>
        <v>19829.051191965871</v>
      </c>
      <c r="L9" s="138">
        <v>0</v>
      </c>
      <c r="M9" s="139">
        <v>1E-3</v>
      </c>
      <c r="N9" s="135">
        <v>869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07" t="s">
        <v>13</v>
      </c>
      <c r="B1" s="208"/>
      <c r="C1" s="208"/>
      <c r="D1" s="209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202" t="s">
        <v>30</v>
      </c>
      <c r="B3" s="203"/>
      <c r="C3" s="203"/>
      <c r="D3" s="204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202" t="s">
        <v>29</v>
      </c>
      <c r="B5" s="203"/>
      <c r="C5" s="203"/>
      <c r="D5" s="204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202" t="s">
        <v>31</v>
      </c>
      <c r="B7" s="203"/>
      <c r="C7" s="203"/>
      <c r="D7" s="204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202" t="s">
        <v>46</v>
      </c>
      <c r="B9" s="203"/>
      <c r="C9" s="203"/>
      <c r="D9" s="204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202" t="s">
        <v>45</v>
      </c>
      <c r="B12" s="203"/>
      <c r="C12" s="203"/>
      <c r="D12" s="204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202" t="s">
        <v>38</v>
      </c>
      <c r="B14" s="203"/>
      <c r="C14" s="203"/>
      <c r="D14" s="204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202" t="s">
        <v>44</v>
      </c>
      <c r="B16" s="203"/>
      <c r="C16" s="203"/>
      <c r="D16" s="204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5"/>
      <c r="F17" s="146"/>
      <c r="G17" s="146"/>
      <c r="H17" s="15"/>
    </row>
    <row r="18" spans="1:8" x14ac:dyDescent="0.25">
      <c r="A18" s="57" t="s">
        <v>37</v>
      </c>
      <c r="B18" s="57"/>
      <c r="C18" s="57"/>
      <c r="D18" s="57"/>
      <c r="E18" s="145"/>
      <c r="F18" s="146"/>
      <c r="G18" s="146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205" t="s">
        <v>5</v>
      </c>
      <c r="B20" s="206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192" t="s">
        <v>16</v>
      </c>
      <c r="B21" s="193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192" t="s">
        <v>6</v>
      </c>
      <c r="B22" s="193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192" t="s">
        <v>14</v>
      </c>
      <c r="B23" s="193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192" t="s">
        <v>15</v>
      </c>
      <c r="B24" s="193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195" t="s">
        <v>36</v>
      </c>
      <c r="B27" s="196"/>
      <c r="C27" s="196"/>
      <c r="D27" s="196"/>
      <c r="E27" s="196"/>
      <c r="F27" s="196"/>
      <c r="G27" s="197"/>
      <c r="H27" s="72"/>
    </row>
    <row r="28" spans="1:8" ht="31.2" thickBot="1" x14ac:dyDescent="0.3">
      <c r="A28" s="198" t="s">
        <v>2</v>
      </c>
      <c r="B28" s="199"/>
      <c r="C28" s="100" t="s">
        <v>34</v>
      </c>
      <c r="D28" s="100" t="s">
        <v>32</v>
      </c>
      <c r="E28" s="100" t="s">
        <v>33</v>
      </c>
      <c r="F28" s="200" t="s">
        <v>35</v>
      </c>
      <c r="G28" s="201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194"/>
      <c r="E30" s="194"/>
      <c r="F30" s="194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12:D12"/>
    <mergeCell ref="A14:D14"/>
    <mergeCell ref="A16:D16"/>
    <mergeCell ref="A20:B20"/>
    <mergeCell ref="A1:D1"/>
    <mergeCell ref="A3:D3"/>
    <mergeCell ref="A5:D5"/>
    <mergeCell ref="A7:D7"/>
    <mergeCell ref="A9:D9"/>
    <mergeCell ref="A21:B21"/>
    <mergeCell ref="A22:B22"/>
    <mergeCell ref="D30:F30"/>
    <mergeCell ref="A24:B24"/>
    <mergeCell ref="A27:G27"/>
    <mergeCell ref="A28:B28"/>
    <mergeCell ref="F28:G2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Зустрічна пропозиція</vt:lpstr>
      <vt:lpstr>Лист2</vt:lpstr>
      <vt:lpstr>Назви</vt:lpstr>
      <vt:lpstr>'Зустрічна пропозиція'!Область_печати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Козар Ростислав</cp:lastModifiedBy>
  <cp:lastPrinted>2020-02-12T09:25:28Z</cp:lastPrinted>
  <dcterms:created xsi:type="dcterms:W3CDTF">2008-03-13T06:51:50Z</dcterms:created>
  <dcterms:modified xsi:type="dcterms:W3CDTF">2022-12-12T09:55:14Z</dcterms:modified>
</cp:coreProperties>
</file>