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AE9" i="1" l="1"/>
  <c r="AE10" i="1"/>
  <c r="AE8" i="1"/>
  <c r="AC13" i="1"/>
  <c r="AC14" i="1"/>
  <c r="AC12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1" i="4" l="1"/>
  <c r="J14" i="4" s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<sst xmlns="http://schemas.openxmlformats.org/spreadsheetml/2006/main" count="123" uniqueCount="56">
  <si>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</si>
  <si>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</si>
  <si>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</si>
  <si>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</si>
  <si>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</si>
  <si>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</si>
  <si>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</si>
  <si>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</si>
  <si>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</si>
  <si>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</si>
  <si>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</si>
  <si>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</si>
  <si>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</si>
  <si>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</si>
  <si>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</si>
  <si>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</si>
  <si>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</si>
  <si>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</si>
  <si>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</si>
  <si>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</si>
  <si>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</si>
  <si>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</si>
  <si>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</si>
  <si>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</si>
  <si>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</si>
  <si>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</si>
  <si>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</si>
  <si>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</si>
  <si>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</si>
  <si>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</si>
  <si>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</si>
  <si>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</si>
  <si>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</si>
  <si>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</si>
  <si>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</si>
  <si>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</si>
  <si>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</si>
  <si>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</si>
  <si>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</si>
  <si>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</si>
  <si>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</si>
  <si>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</si>
  <si>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</si>
  <si>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</si>
  <si>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</si>
  <si>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</si>
  <si>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</si>
  <si>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</si>
  <si>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</si>
  <si>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</si>
  <si>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</si>
  <si>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</si>
  <si>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</si>
  <si>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</si>
  <si>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</si>
  <si>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долар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</si>
</sst>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J9" sqref="J9:K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399999999999999" x14ac:dyDescent="0.3">
      <c r="A2" s="10"/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0"/>
      <c r="P2" s="10"/>
      <c r="Q2" s="10"/>
      <c r="R2" s="10"/>
    </row>
    <row r="3" spans="1:18" x14ac:dyDescent="0.3">
      <c r="A3" s="10"/>
      <c r="B3" s="80" t="s">
        <v>18</v>
      </c>
      <c r="C3" s="80"/>
      <c r="D3" s="80"/>
      <c r="E3" s="80"/>
      <c r="F3" s="80"/>
      <c r="G3" s="12"/>
      <c r="H3" s="81" t="s">
        <v>21</v>
      </c>
      <c r="I3" s="81"/>
      <c r="J3" s="81"/>
      <c r="K3" s="81"/>
      <c r="L3" s="81"/>
      <c r="M3" s="81"/>
      <c r="N3" s="81"/>
      <c r="O3" s="10"/>
      <c r="P3" s="10"/>
      <c r="Q3" s="10"/>
      <c r="R3" s="10"/>
    </row>
    <row r="4" spans="1:18" x14ac:dyDescent="0.3">
      <c r="A4" s="10"/>
      <c r="B4" s="80" t="s">
        <v>0</v>
      </c>
      <c r="C4" s="80"/>
      <c r="D4" s="80"/>
      <c r="E4" s="80"/>
      <c r="F4" s="80"/>
      <c r="G4" s="11"/>
      <c r="H4" s="82" t="s">
        <v>43</v>
      </c>
      <c r="I4" s="82"/>
      <c r="J4" s="82"/>
      <c r="K4" s="82"/>
      <c r="L4" s="82"/>
      <c r="M4" s="82"/>
      <c r="N4" s="82"/>
      <c r="O4" s="10"/>
      <c r="P4" s="10"/>
      <c r="Q4" s="10"/>
      <c r="R4" s="10"/>
    </row>
    <row r="5" spans="1:18" x14ac:dyDescent="0.3">
      <c r="A5" s="10"/>
      <c r="B5" s="80" t="s">
        <v>1</v>
      </c>
      <c r="C5" s="80"/>
      <c r="D5" s="80"/>
      <c r="E5" s="80"/>
      <c r="F5" s="80"/>
      <c r="G5" s="11"/>
      <c r="H5" s="76" t="s">
        <v>36</v>
      </c>
      <c r="I5" s="76"/>
      <c r="J5" s="76"/>
      <c r="K5" s="76"/>
      <c r="L5" s="76"/>
      <c r="M5" s="76"/>
      <c r="N5" s="76"/>
      <c r="O5" s="10"/>
      <c r="P5" s="10"/>
      <c r="Q5" s="10"/>
      <c r="R5" s="10"/>
    </row>
    <row r="6" spans="1:18" x14ac:dyDescent="0.3">
      <c r="A6" s="10"/>
      <c r="B6" s="80" t="s">
        <v>3</v>
      </c>
      <c r="C6" s="80"/>
      <c r="D6" s="80"/>
      <c r="E6" s="80"/>
      <c r="F6" s="80"/>
      <c r="G6" s="11"/>
      <c r="H6" s="76" t="s">
        <v>22</v>
      </c>
      <c r="I6" s="76"/>
      <c r="J6" s="76"/>
      <c r="K6" s="76"/>
      <c r="L6" s="76"/>
      <c r="M6" s="76"/>
      <c r="N6" s="76"/>
      <c r="O6" s="10"/>
      <c r="P6" s="10"/>
      <c r="Q6" s="10"/>
      <c r="R6" s="10"/>
    </row>
    <row r="7" spans="1:18" x14ac:dyDescent="0.3">
      <c r="A7" s="10"/>
      <c r="B7" s="80" t="s">
        <v>2</v>
      </c>
      <c r="C7" s="80"/>
      <c r="D7" s="80"/>
      <c r="E7" s="80"/>
      <c r="F7" s="80"/>
      <c r="G7" s="11"/>
      <c r="H7" s="76" t="s">
        <v>45</v>
      </c>
      <c r="I7" s="76"/>
      <c r="J7" s="76"/>
      <c r="K7" s="76"/>
      <c r="L7" s="76"/>
      <c r="M7" s="76"/>
      <c r="N7" s="76"/>
      <c r="O7" s="10"/>
      <c r="P7" s="10"/>
      <c r="Q7" s="29"/>
      <c r="R7" s="10"/>
    </row>
    <row r="8" spans="1:18" ht="18" thickBot="1" x14ac:dyDescent="0.35">
      <c r="A8" s="10"/>
      <c r="B8" s="78" t="s">
        <v>23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0"/>
      <c r="P8" s="10"/>
      <c r="Q8" s="10"/>
      <c r="R8" s="10"/>
    </row>
    <row r="9" spans="1:18" ht="23.25" customHeight="1" thickBot="1" x14ac:dyDescent="0.35">
      <c r="A9" s="10"/>
      <c r="B9" s="56" t="s">
        <v>24</v>
      </c>
      <c r="C9" s="56"/>
      <c r="D9" s="56"/>
      <c r="E9" s="23"/>
      <c r="F9" s="14">
        <v>100000</v>
      </c>
      <c r="G9" s="24"/>
      <c r="H9" s="84" t="s">
        <v>49</v>
      </c>
      <c r="I9" s="85"/>
      <c r="J9" s="86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5.0000000000000001E-3</v>
      </c>
      <c r="K9" s="87"/>
      <c r="L9" s="83"/>
      <c r="M9" s="83"/>
      <c r="N9" s="83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7"/>
      <c r="M10" s="77"/>
      <c r="N10" s="77"/>
      <c r="O10" s="10"/>
      <c r="P10" s="10"/>
      <c r="Q10" s="10"/>
      <c r="R10" s="10"/>
    </row>
    <row r="11" spans="1:18" ht="15.75" customHeight="1" x14ac:dyDescent="0.3">
      <c r="A11" s="10"/>
      <c r="B11" s="56" t="s">
        <v>18</v>
      </c>
      <c r="C11" s="56"/>
      <c r="D11" s="56"/>
      <c r="E11" s="13"/>
      <c r="F11" s="14" t="s">
        <v>55</v>
      </c>
      <c r="G11" s="15"/>
      <c r="H11" s="59" t="s">
        <v>47</v>
      </c>
      <c r="I11" s="60"/>
      <c r="J11" s="61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123.2876712328767</v>
      </c>
      <c r="K11" s="62"/>
      <c r="L11" s="77"/>
      <c r="M11" s="77"/>
      <c r="N11" s="77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17"/>
      <c r="F12" s="18"/>
      <c r="G12" s="15"/>
      <c r="H12" s="59"/>
      <c r="I12" s="60"/>
      <c r="J12" s="63"/>
      <c r="K12" s="64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6" t="s">
        <v>46</v>
      </c>
      <c r="C13" s="56"/>
      <c r="D13" s="56"/>
      <c r="E13" s="13"/>
      <c r="F13" s="14" t="s">
        <v>54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7"/>
      <c r="C14" s="57"/>
      <c r="D14" s="57"/>
      <c r="E14" s="17"/>
      <c r="F14" s="18"/>
      <c r="G14" s="15"/>
      <c r="H14" s="65" t="s">
        <v>48</v>
      </c>
      <c r="I14" s="66"/>
      <c r="J14" s="67">
        <f>J11-(J11*19.5%)</f>
        <v>99.246575342465746</v>
      </c>
      <c r="K14" s="68"/>
      <c r="L14" s="73"/>
      <c r="M14" s="74"/>
      <c r="N14" s="74"/>
      <c r="O14" s="10"/>
      <c r="P14" s="10"/>
      <c r="Q14" s="10"/>
      <c r="R14" s="10"/>
    </row>
    <row r="15" spans="1:18" ht="14.25" customHeight="1" x14ac:dyDescent="0.3">
      <c r="A15" s="10"/>
      <c r="B15" s="56" t="s">
        <v>15</v>
      </c>
      <c r="C15" s="56"/>
      <c r="D15" s="56"/>
      <c r="E15" s="13"/>
      <c r="F15" s="14" t="s">
        <v>28</v>
      </c>
      <c r="G15" s="15"/>
      <c r="H15" s="65"/>
      <c r="I15" s="66"/>
      <c r="J15" s="69"/>
      <c r="K15" s="70"/>
      <c r="L15" s="74"/>
      <c r="M15" s="74"/>
      <c r="N15" s="74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17"/>
      <c r="F16" s="18"/>
      <c r="G16" s="15"/>
      <c r="H16" s="65"/>
      <c r="I16" s="66"/>
      <c r="J16" s="71"/>
      <c r="K16" s="72"/>
      <c r="L16" s="74"/>
      <c r="M16" s="74"/>
      <c r="N16" s="74"/>
      <c r="O16" s="10"/>
      <c r="P16" s="10"/>
      <c r="Q16" s="10"/>
      <c r="R16" s="10"/>
    </row>
    <row r="17" spans="1:18" ht="15.6" thickBot="1" x14ac:dyDescent="0.35">
      <c r="A17" s="10"/>
      <c r="B17" s="55" t="s">
        <v>0</v>
      </c>
      <c r="C17" s="55"/>
      <c r="D17" s="55"/>
      <c r="E17" s="13"/>
      <c r="F17" s="14" t="s">
        <v>43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17"/>
      <c r="F18" s="18"/>
      <c r="G18" s="15"/>
      <c r="H18" s="65" t="s">
        <v>50</v>
      </c>
      <c r="I18" s="66"/>
      <c r="J18" s="67">
        <f>J11-J14</f>
        <v>24.041095890410958</v>
      </c>
      <c r="K18" s="68"/>
      <c r="L18" s="75"/>
      <c r="M18" s="75"/>
      <c r="N18" s="75"/>
      <c r="O18" s="10"/>
      <c r="P18" s="10"/>
      <c r="Q18" s="10"/>
      <c r="R18" s="10"/>
    </row>
    <row r="19" spans="1:18" x14ac:dyDescent="0.3">
      <c r="A19" s="10"/>
      <c r="B19" s="55" t="s">
        <v>19</v>
      </c>
      <c r="C19" s="55"/>
      <c r="D19" s="55"/>
      <c r="E19" s="13"/>
      <c r="F19" s="14">
        <v>3</v>
      </c>
      <c r="G19" s="15"/>
      <c r="H19" s="65"/>
      <c r="I19" s="66"/>
      <c r="J19" s="69"/>
      <c r="K19" s="70"/>
      <c r="L19" s="75"/>
      <c r="M19" s="75"/>
      <c r="N19" s="75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17"/>
      <c r="F20" s="18"/>
      <c r="G20" s="15"/>
      <c r="H20" s="65"/>
      <c r="I20" s="66"/>
      <c r="J20" s="71"/>
      <c r="K20" s="72"/>
      <c r="L20" s="75"/>
      <c r="M20" s="75"/>
      <c r="N20" s="75"/>
      <c r="O20" s="10"/>
      <c r="P20" s="10"/>
      <c r="Q20" s="10"/>
      <c r="R20" s="10"/>
    </row>
    <row r="21" spans="1:18" ht="16.2" thickBot="1" x14ac:dyDescent="0.35">
      <c r="A21" s="10"/>
      <c r="B21" s="55" t="s">
        <v>14</v>
      </c>
      <c r="C21" s="55"/>
      <c r="D21" s="55"/>
      <c r="E21" s="13"/>
      <c r="F21" s="21">
        <v>45001</v>
      </c>
      <c r="G21" s="15"/>
      <c r="H21" s="48"/>
      <c r="I21" s="48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49" t="s">
        <v>51</v>
      </c>
      <c r="I22" s="49"/>
      <c r="J22" s="50">
        <f>((J14/F9)/VLOOKUP(F19,Лист1!T6:W24,4,0)*Лист1!W18)</f>
        <v>3.9482876712328757E-3</v>
      </c>
      <c r="K22" s="51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2" t="s">
        <v>53</v>
      </c>
      <c r="I24" s="52"/>
      <c r="J24" s="53">
        <v>0</v>
      </c>
      <c r="K24" s="54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5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B27" s="79"/>
      <c r="C27" s="79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9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workbookViewId="0">
      <selection activeCell="G11" sqref="G11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6" t="s">
        <v>4</v>
      </c>
      <c r="B1" s="103"/>
      <c r="C1" s="100" t="s">
        <v>13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AC1" s="30"/>
      <c r="AD1" s="30"/>
    </row>
    <row r="2" spans="1:32" ht="16.5" customHeight="1" x14ac:dyDescent="0.3">
      <c r="A2" s="96"/>
      <c r="B2" s="104"/>
      <c r="C2" s="90" t="s">
        <v>11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02" t="s">
        <v>16</v>
      </c>
      <c r="P2" s="102"/>
      <c r="Q2" s="102"/>
      <c r="R2" s="102"/>
    </row>
    <row r="3" spans="1:32" ht="16.5" customHeight="1" x14ac:dyDescent="0.3">
      <c r="A3" s="96"/>
      <c r="B3" s="104"/>
      <c r="C3" s="93" t="s">
        <v>41</v>
      </c>
      <c r="D3" s="93"/>
      <c r="E3" s="93"/>
      <c r="F3" s="93"/>
      <c r="G3" s="93"/>
      <c r="H3" s="93"/>
      <c r="I3" s="93" t="s">
        <v>42</v>
      </c>
      <c r="J3" s="93"/>
      <c r="K3" s="93"/>
      <c r="L3" s="93"/>
      <c r="M3" s="93"/>
      <c r="N3" s="93"/>
      <c r="O3" s="93" t="s">
        <v>9</v>
      </c>
      <c r="P3" s="93"/>
      <c r="Q3" s="93" t="s">
        <v>10</v>
      </c>
      <c r="R3" s="93"/>
    </row>
    <row r="4" spans="1:32" ht="18" customHeight="1" x14ac:dyDescent="0.3">
      <c r="A4" s="96"/>
      <c r="B4" s="104"/>
      <c r="C4" s="101" t="s">
        <v>25</v>
      </c>
      <c r="D4" s="101"/>
      <c r="E4" s="94" t="s">
        <v>26</v>
      </c>
      <c r="F4" s="95"/>
      <c r="G4" s="94" t="s">
        <v>27</v>
      </c>
      <c r="H4" s="95"/>
      <c r="I4" s="101" t="s">
        <v>25</v>
      </c>
      <c r="J4" s="101"/>
      <c r="K4" s="94" t="s">
        <v>26</v>
      </c>
      <c r="L4" s="95"/>
      <c r="M4" s="94" t="s">
        <v>27</v>
      </c>
      <c r="N4" s="95"/>
      <c r="O4" s="94" t="s">
        <v>25</v>
      </c>
      <c r="P4" s="106"/>
      <c r="Q4" s="106"/>
      <c r="R4" s="95"/>
    </row>
    <row r="5" spans="1:32" ht="37.5" customHeight="1" x14ac:dyDescent="0.3">
      <c r="A5" s="96"/>
      <c r="B5" s="105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45001</v>
      </c>
      <c r="X5" s="44"/>
    </row>
    <row r="6" spans="1:32" x14ac:dyDescent="0.3">
      <c r="A6" s="2" t="s">
        <v>37</v>
      </c>
      <c r="B6" s="2">
        <v>1</v>
      </c>
      <c r="C6" s="3">
        <v>7.4999999999999997E-2</v>
      </c>
      <c r="D6" s="5">
        <f>Калькулятор!F9*Лист1!C6/365*(V6-2)</f>
        <v>595.89041095890411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45032</v>
      </c>
      <c r="V6">
        <f>U6-U5</f>
        <v>31</v>
      </c>
      <c r="W6">
        <f>V6-V5</f>
        <v>31</v>
      </c>
      <c r="AA6" s="89" t="s">
        <v>34</v>
      </c>
      <c r="AB6" s="89"/>
      <c r="AC6" s="88" t="s">
        <v>35</v>
      </c>
      <c r="AD6" s="88"/>
      <c r="AE6" s="88" t="s">
        <v>31</v>
      </c>
      <c r="AF6" s="88"/>
    </row>
    <row r="7" spans="1:32" x14ac:dyDescent="0.3">
      <c r="A7" s="2" t="s">
        <v>38</v>
      </c>
      <c r="B7" s="2">
        <v>3</v>
      </c>
      <c r="C7" s="3">
        <v>0.105</v>
      </c>
      <c r="D7" s="5">
        <f>Калькулятор!$F$9*Лист1!C7/365*(W8-2)</f>
        <v>2589.0410958904108</v>
      </c>
      <c r="E7" s="3">
        <v>5.0000000000000001E-3</v>
      </c>
      <c r="F7" s="5">
        <f>Калькулятор!$F$9*Лист1!E7/365*(W8-2)</f>
        <v>123.2876712328767</v>
      </c>
      <c r="G7" s="3">
        <v>4.0000000000000001E-3</v>
      </c>
      <c r="H7" s="5">
        <f>Калькулятор!$F$9*Лист1!G7/365*(W8-2)</f>
        <v>98.630136986301366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45062</v>
      </c>
      <c r="V7">
        <f t="shared" ref="V7:V29" si="1">U7-U6</f>
        <v>30</v>
      </c>
      <c r="AA7" t="s">
        <v>32</v>
      </c>
      <c r="AB7" t="s">
        <v>33</v>
      </c>
      <c r="AC7" t="s">
        <v>32</v>
      </c>
      <c r="AD7" t="s">
        <v>33</v>
      </c>
      <c r="AE7" t="s">
        <v>32</v>
      </c>
      <c r="AF7" t="s">
        <v>33</v>
      </c>
    </row>
    <row r="8" spans="1:32" x14ac:dyDescent="0.3">
      <c r="A8" s="2" t="s">
        <v>39</v>
      </c>
      <c r="B8" s="2">
        <v>6</v>
      </c>
      <c r="C8" s="3">
        <f>IF(Калькулятор!$F$9&gt;=100000,AC8,AA8)</f>
        <v>9.2499999999999999E-2</v>
      </c>
      <c r="D8" s="5">
        <f>(Калькулятор!$F$9*Лист1!C8/365*(W11-2))</f>
        <v>4612.3287671232874</v>
      </c>
      <c r="E8" s="3">
        <v>5.0000000000000001E-3</v>
      </c>
      <c r="F8" s="5">
        <f>Калькулятор!$F$9*Лист1!E8/365*(W11-2)</f>
        <v>249.31506849315068</v>
      </c>
      <c r="G8" s="3">
        <v>4.0000000000000001E-3</v>
      </c>
      <c r="H8" s="5">
        <f>Калькулятор!$F$9*Лист1!G8/365*(W11-2)</f>
        <v>199.45205479452054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45093</v>
      </c>
      <c r="V8">
        <f t="shared" si="1"/>
        <v>31</v>
      </c>
      <c r="W8">
        <f>SUM(V6:V8)</f>
        <v>92</v>
      </c>
      <c r="Z8" s="33">
        <v>6</v>
      </c>
      <c r="AA8" s="3">
        <v>0.09</v>
      </c>
      <c r="AB8" s="3"/>
      <c r="AC8" s="32">
        <f>IF(Калькулятор!$F$9&gt;=500000,AE8,AC12)</f>
        <v>9.2499999999999999E-2</v>
      </c>
      <c r="AD8" s="32"/>
      <c r="AE8" s="32">
        <f>AA8+0.5%</f>
        <v>9.5000000000000001E-2</v>
      </c>
      <c r="AF8" s="32"/>
    </row>
    <row r="9" spans="1:32" x14ac:dyDescent="0.3">
      <c r="A9" s="2" t="s">
        <v>40</v>
      </c>
      <c r="B9" s="2">
        <v>9</v>
      </c>
      <c r="C9" s="3">
        <f>IF(Калькулятор!$F$9&gt;=100000,AC9,AA9)</f>
        <v>8.7500000000000008E-2</v>
      </c>
      <c r="D9" s="5">
        <f>Калькулятор!$F$9*Лист1!C9/365*(W14-2)</f>
        <v>6544.5205479452061</v>
      </c>
      <c r="E9" s="3">
        <v>5.0000000000000001E-3</v>
      </c>
      <c r="F9" s="5">
        <f>Калькулятор!$F$9*Лист1!E9/365*(W14-2)</f>
        <v>373.97260273972603</v>
      </c>
      <c r="G9" s="3">
        <v>4.0000000000000001E-3</v>
      </c>
      <c r="H9" s="5">
        <f>Калькулятор!$F$9*Лист1!G9/365*(W14-2)</f>
        <v>299.17808219178079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45123</v>
      </c>
      <c r="V9">
        <f t="shared" si="1"/>
        <v>30</v>
      </c>
      <c r="Z9" s="33">
        <v>9</v>
      </c>
      <c r="AA9" s="3">
        <v>8.5000000000000006E-2</v>
      </c>
      <c r="AB9" s="3"/>
      <c r="AC9" s="32">
        <f>IF(Калькулятор!$F$9&gt;=500000,AE9,AC13)</f>
        <v>8.7500000000000008E-2</v>
      </c>
      <c r="AD9" s="32"/>
      <c r="AE9" s="32">
        <f t="shared" ref="AE9:AE10" si="2">AA9+0.5%</f>
        <v>9.0000000000000011E-2</v>
      </c>
      <c r="AF9" s="32"/>
    </row>
    <row r="10" spans="1:32" x14ac:dyDescent="0.3">
      <c r="A10" s="2" t="s">
        <v>5</v>
      </c>
      <c r="B10" s="2">
        <v>12</v>
      </c>
      <c r="C10" s="3">
        <f>IF(Калькулятор!$F$9&gt;=100000,AC10,AA10)</f>
        <v>0.09</v>
      </c>
      <c r="D10" s="5">
        <f>Калькулятор!$F$9*Лист1!C10/365*(W18-2)</f>
        <v>8975.3424657534251</v>
      </c>
      <c r="E10" s="3">
        <v>5.0000000000000001E-3</v>
      </c>
      <c r="F10" s="5">
        <f>Калькулятор!$F$9*Лист1!E10/365*(W18-2)</f>
        <v>498.63013698630135</v>
      </c>
      <c r="G10" s="3">
        <v>4.0000000000000001E-3</v>
      </c>
      <c r="H10" s="5">
        <f>Калькулятор!$F$9*Лист1!G10/365*(W18-2)</f>
        <v>398.90410958904107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45154</v>
      </c>
      <c r="V10">
        <f t="shared" si="1"/>
        <v>31</v>
      </c>
      <c r="Z10" s="33">
        <v>12</v>
      </c>
      <c r="AA10" s="3">
        <v>8.7499999999999994E-2</v>
      </c>
      <c r="AB10" s="3"/>
      <c r="AC10" s="32">
        <f>IF(Калькулятор!$F$9&gt;=500000,AE10,AC14)</f>
        <v>0.09</v>
      </c>
      <c r="AD10" s="32"/>
      <c r="AE10" s="32">
        <f t="shared" si="2"/>
        <v>9.2499999999999999E-2</v>
      </c>
      <c r="AF10" s="32"/>
    </row>
    <row r="11" spans="1:32" x14ac:dyDescent="0.3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11260.273972602739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29</v>
      </c>
      <c r="P11" s="5" t="s">
        <v>29</v>
      </c>
      <c r="Q11" s="3" t="s">
        <v>29</v>
      </c>
      <c r="R11" s="9" t="s">
        <v>29</v>
      </c>
      <c r="T11">
        <v>6</v>
      </c>
      <c r="U11" s="1">
        <f t="shared" si="0"/>
        <v>45185</v>
      </c>
      <c r="V11">
        <f t="shared" si="1"/>
        <v>31</v>
      </c>
      <c r="W11">
        <f>SUM(V6:V11)</f>
        <v>184</v>
      </c>
      <c r="AC11" s="88" t="s">
        <v>30</v>
      </c>
      <c r="AD11" s="88"/>
    </row>
    <row r="12" spans="1:32" ht="15" customHeight="1" x14ac:dyDescent="0.3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T12">
        <v>7</v>
      </c>
      <c r="U12" s="1">
        <f t="shared" si="0"/>
        <v>45215</v>
      </c>
      <c r="V12">
        <f>U12-U11</f>
        <v>30</v>
      </c>
      <c r="AC12" s="32">
        <f>AA8+0.25%</f>
        <v>9.2499999999999999E-2</v>
      </c>
      <c r="AD12" s="32"/>
      <c r="AE12" s="32"/>
      <c r="AF12" s="32"/>
    </row>
    <row r="13" spans="1:32" x14ac:dyDescent="0.3">
      <c r="A13" s="96" t="s">
        <v>4</v>
      </c>
      <c r="B13" s="103"/>
      <c r="C13" s="100" t="s">
        <v>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T13">
        <v>8</v>
      </c>
      <c r="U13" s="1">
        <f t="shared" si="0"/>
        <v>45246</v>
      </c>
      <c r="V13">
        <f t="shared" si="1"/>
        <v>31</v>
      </c>
      <c r="AC13" s="32">
        <f t="shared" ref="AC13:AC14" si="3">AA9+0.25%</f>
        <v>8.7500000000000008E-2</v>
      </c>
      <c r="AD13" s="32"/>
      <c r="AE13" s="32"/>
      <c r="AF13" s="32"/>
    </row>
    <row r="14" spans="1:32" x14ac:dyDescent="0.3">
      <c r="A14" s="96"/>
      <c r="B14" s="104"/>
      <c r="C14" s="90" t="s">
        <v>11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02" t="s">
        <v>16</v>
      </c>
      <c r="P14" s="102"/>
      <c r="Q14" s="102"/>
      <c r="R14" s="102"/>
      <c r="T14">
        <v>9</v>
      </c>
      <c r="U14" s="1">
        <f t="shared" si="0"/>
        <v>45276</v>
      </c>
      <c r="V14">
        <f t="shared" si="1"/>
        <v>30</v>
      </c>
      <c r="W14">
        <f>SUM(V6:V14)</f>
        <v>275</v>
      </c>
      <c r="AC14" s="32">
        <f t="shared" si="3"/>
        <v>0.09</v>
      </c>
      <c r="AD14" s="32"/>
      <c r="AE14" s="32"/>
      <c r="AF14" s="32"/>
    </row>
    <row r="15" spans="1:32" x14ac:dyDescent="0.3">
      <c r="A15" s="96"/>
      <c r="B15" s="104"/>
      <c r="C15" s="93" t="s">
        <v>41</v>
      </c>
      <c r="D15" s="93"/>
      <c r="E15" s="93"/>
      <c r="F15" s="93"/>
      <c r="G15" s="93"/>
      <c r="H15" s="93"/>
      <c r="I15" s="93" t="s">
        <v>42</v>
      </c>
      <c r="J15" s="93"/>
      <c r="K15" s="93"/>
      <c r="L15" s="93"/>
      <c r="M15" s="93"/>
      <c r="N15" s="93"/>
      <c r="O15" s="93" t="s">
        <v>9</v>
      </c>
      <c r="P15" s="93"/>
      <c r="Q15" s="93" t="s">
        <v>10</v>
      </c>
      <c r="R15" s="93"/>
      <c r="T15">
        <v>10</v>
      </c>
      <c r="U15" s="1">
        <f t="shared" ref="U15:U29" si="4">EDATE($U$5,T15)</f>
        <v>45307</v>
      </c>
      <c r="AC15" s="31"/>
      <c r="AD15" s="31"/>
      <c r="AE15" s="31"/>
      <c r="AF15" s="31"/>
    </row>
    <row r="16" spans="1:32" x14ac:dyDescent="0.3">
      <c r="A16" s="96"/>
      <c r="B16" s="104"/>
      <c r="C16" s="101" t="s">
        <v>25</v>
      </c>
      <c r="D16" s="101"/>
      <c r="E16" s="94" t="s">
        <v>26</v>
      </c>
      <c r="F16" s="95"/>
      <c r="G16" s="94" t="s">
        <v>27</v>
      </c>
      <c r="H16" s="95"/>
      <c r="I16" s="101" t="s">
        <v>25</v>
      </c>
      <c r="J16" s="101"/>
      <c r="K16" s="94" t="s">
        <v>26</v>
      </c>
      <c r="L16" s="95"/>
      <c r="M16" s="94" t="s">
        <v>27</v>
      </c>
      <c r="N16" s="95"/>
      <c r="O16" s="94" t="s">
        <v>25</v>
      </c>
      <c r="P16" s="106"/>
      <c r="Q16" s="106"/>
      <c r="R16" s="95"/>
      <c r="T16">
        <v>11</v>
      </c>
      <c r="U16" s="1">
        <f t="shared" si="4"/>
        <v>45338</v>
      </c>
      <c r="V16">
        <f>U16-U14</f>
        <v>62</v>
      </c>
    </row>
    <row r="17" spans="1:23" ht="28.8" x14ac:dyDescent="0.3">
      <c r="A17" s="96"/>
      <c r="B17" s="105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45367</v>
      </c>
      <c r="V17">
        <f t="shared" si="1"/>
        <v>29</v>
      </c>
      <c r="W17">
        <f>SUM(V6:V17)</f>
        <v>366</v>
      </c>
    </row>
    <row r="18" spans="1:23" x14ac:dyDescent="0.3">
      <c r="A18" s="2" t="s">
        <v>37</v>
      </c>
      <c r="B18" s="2">
        <v>1</v>
      </c>
      <c r="C18" s="3">
        <f>C6</f>
        <v>7.4999999999999997E-2</v>
      </c>
      <c r="D18" s="5">
        <f>Калькулятор!F9*Лист1!C18/365*(V6-2)</f>
        <v>595.89041095890411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45398</v>
      </c>
      <c r="V18">
        <f t="shared" si="1"/>
        <v>31</v>
      </c>
      <c r="W18">
        <f>SUM(V6:V17)</f>
        <v>366</v>
      </c>
    </row>
    <row r="19" spans="1:23" x14ac:dyDescent="0.3">
      <c r="A19" s="2" t="s">
        <v>38</v>
      </c>
      <c r="B19" s="2">
        <v>3</v>
      </c>
      <c r="C19" s="3">
        <f>C7</f>
        <v>0.105</v>
      </c>
      <c r="D19" s="5">
        <f>Калькулятор!$F$9*Лист1!C19/365*(W8-2)</f>
        <v>2589.0410958904108</v>
      </c>
      <c r="E19" s="3">
        <f>E7</f>
        <v>5.0000000000000001E-3</v>
      </c>
      <c r="F19" s="5">
        <f>Калькулятор!$F$9*Лист1!E19/365*(W8-2)</f>
        <v>123.2876712328767</v>
      </c>
      <c r="G19" s="3">
        <f>G7</f>
        <v>4.0000000000000001E-3</v>
      </c>
      <c r="H19" s="5">
        <f>Калькулятор!$F$9*Лист1!G19/365*(W8-2)</f>
        <v>98.630136986301366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45428</v>
      </c>
      <c r="V19">
        <f t="shared" si="1"/>
        <v>30</v>
      </c>
    </row>
    <row r="20" spans="1:23" x14ac:dyDescent="0.3">
      <c r="A20" s="2" t="s">
        <v>39</v>
      </c>
      <c r="B20" s="2">
        <v>6</v>
      </c>
      <c r="C20" s="3">
        <f>AA8</f>
        <v>0.09</v>
      </c>
      <c r="D20" s="5">
        <f>Калькулятор!$F$9*Лист1!C20/365*(W11-2)</f>
        <v>4487.6712328767126</v>
      </c>
      <c r="E20" s="3">
        <f>E8</f>
        <v>5.0000000000000001E-3</v>
      </c>
      <c r="F20" s="5">
        <f>Калькулятор!$F$9*Лист1!E20/365*(W11-2)</f>
        <v>249.31506849315068</v>
      </c>
      <c r="G20" s="3">
        <f>G8</f>
        <v>4.0000000000000001E-3</v>
      </c>
      <c r="H20" s="5">
        <f>Калькулятор!$F$9*Лист1!G20/365*(W11-2)</f>
        <v>199.45205479452054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45459</v>
      </c>
      <c r="V20">
        <f t="shared" si="1"/>
        <v>31</v>
      </c>
    </row>
    <row r="21" spans="1:23" x14ac:dyDescent="0.3">
      <c r="A21" s="2" t="s">
        <v>40</v>
      </c>
      <c r="B21" s="2">
        <v>9</v>
      </c>
      <c r="C21" s="3">
        <f>AA9</f>
        <v>8.5000000000000006E-2</v>
      </c>
      <c r="D21" s="5">
        <f>Калькулятор!$F$9*Лист1!C21/365*(W14-2)</f>
        <v>6357.534246575342</v>
      </c>
      <c r="E21" s="3">
        <f>E9</f>
        <v>5.0000000000000001E-3</v>
      </c>
      <c r="F21" s="5">
        <f>Калькулятор!$F$9*Лист1!E21/365*(W14-2)</f>
        <v>373.97260273972603</v>
      </c>
      <c r="G21" s="3">
        <f>G9</f>
        <v>4.0000000000000001E-3</v>
      </c>
      <c r="H21" s="5">
        <f>Калькулятор!$F$9*Лист1!G21/365*(W14-2)</f>
        <v>299.17808219178079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45489</v>
      </c>
      <c r="V21">
        <f t="shared" si="1"/>
        <v>30</v>
      </c>
      <c r="W21">
        <f>SUM(V6:V21)</f>
        <v>488</v>
      </c>
    </row>
    <row r="22" spans="1:23" x14ac:dyDescent="0.3">
      <c r="A22" s="2" t="s">
        <v>5</v>
      </c>
      <c r="B22" s="2">
        <v>12</v>
      </c>
      <c r="C22" s="3">
        <f>AA10</f>
        <v>8.7499999999999994E-2</v>
      </c>
      <c r="D22" s="5">
        <f>Калькулятор!$F$9*Лист1!C22/365*(W18-2)</f>
        <v>8726.0273972602736</v>
      </c>
      <c r="E22" s="3">
        <f>E10</f>
        <v>5.0000000000000001E-3</v>
      </c>
      <c r="F22" s="5">
        <f>Калькулятор!$F$9*Лист1!E22/365*(W18-2)</f>
        <v>498.63013698630135</v>
      </c>
      <c r="G22" s="3">
        <f>G10</f>
        <v>4.0000000000000001E-3</v>
      </c>
      <c r="H22" s="5">
        <f>Калькулятор!$F$9*Лист1!G22/365*(W18-2)</f>
        <v>398.90410958904107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45520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>
        <f>C11</f>
        <v>7.4999999999999997E-2</v>
      </c>
      <c r="D23" s="5">
        <f>Калькулятор!$F$9*Лист1!C23/365*(W24-2)</f>
        <v>11260.273972602739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29</v>
      </c>
      <c r="P23" s="5" t="s">
        <v>29</v>
      </c>
      <c r="Q23" s="3" t="s">
        <v>29</v>
      </c>
      <c r="R23" s="9" t="s">
        <v>29</v>
      </c>
      <c r="T23">
        <v>18</v>
      </c>
      <c r="U23" s="1">
        <f t="shared" si="4"/>
        <v>45551</v>
      </c>
      <c r="V23">
        <f t="shared" si="1"/>
        <v>31</v>
      </c>
      <c r="W23">
        <f>SUM(V5:V23)</f>
        <v>550</v>
      </c>
    </row>
    <row r="24" spans="1:23" x14ac:dyDescent="0.3">
      <c r="T24">
        <v>19</v>
      </c>
      <c r="U24" s="1">
        <f t="shared" si="4"/>
        <v>45581</v>
      </c>
      <c r="V24">
        <f t="shared" si="1"/>
        <v>30</v>
      </c>
      <c r="W24">
        <f>SUM(V6:V23)</f>
        <v>550</v>
      </c>
    </row>
    <row r="25" spans="1:23" x14ac:dyDescent="0.3">
      <c r="T25">
        <v>20</v>
      </c>
      <c r="U25" s="1">
        <f t="shared" si="4"/>
        <v>45612</v>
      </c>
      <c r="V25">
        <f t="shared" si="1"/>
        <v>31</v>
      </c>
    </row>
    <row r="26" spans="1:23" x14ac:dyDescent="0.3">
      <c r="T26">
        <v>21</v>
      </c>
      <c r="U26" s="1">
        <f t="shared" si="4"/>
        <v>45642</v>
      </c>
      <c r="V26">
        <f t="shared" si="1"/>
        <v>30</v>
      </c>
    </row>
    <row r="27" spans="1:23" x14ac:dyDescent="0.3">
      <c r="T27">
        <v>22</v>
      </c>
      <c r="U27" s="1">
        <f t="shared" si="4"/>
        <v>45673</v>
      </c>
      <c r="V27">
        <f t="shared" si="1"/>
        <v>31</v>
      </c>
    </row>
    <row r="28" spans="1:23" x14ac:dyDescent="0.3">
      <c r="T28">
        <v>23</v>
      </c>
      <c r="U28" s="1">
        <f t="shared" si="4"/>
        <v>45704</v>
      </c>
      <c r="V28">
        <f t="shared" si="1"/>
        <v>31</v>
      </c>
    </row>
    <row r="29" spans="1:23" x14ac:dyDescent="0.3">
      <c r="T29">
        <v>24</v>
      </c>
      <c r="U29" s="1">
        <f t="shared" si="4"/>
        <v>45732</v>
      </c>
      <c r="V29">
        <f t="shared" si="1"/>
        <v>28</v>
      </c>
      <c r="W29">
        <f>SUM(V6:V29)</f>
        <v>731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2023-03-14T16:44:18Z</dcterms:modified>
</cp:coreProperties>
</file>