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Нова папка\"/>
    </mc:Choice>
  </mc:AlternateContent>
  <xr:revisionPtr revIDLastSave="0" documentId="13_ncr:1_{8D22F1E9-EB2E-4205-B677-FE151DC42697}" xr6:coauthVersionLast="47" xr6:coauthVersionMax="47" xr10:uidLastSave="{00000000-0000-0000-0000-000000000000}"/>
  <bookViews>
    <workbookView xWindow="-120" yWindow="-120" windowWidth="29040" windowHeight="15990" tabRatio="863" xr2:uid="{00000000-000D-0000-FFFF-FFFF00000000}"/>
  </bookViews>
  <sheets>
    <sheet name="NST Ідея_Vodafone" sheetId="164" r:id="rId1"/>
    <sheet name="Перелік партнерів" sheetId="172" state="hidden" r:id="rId2"/>
    <sheet name="Назви" sheetId="161" state="hidden" r:id="rId3"/>
    <sheet name="Лист2" sheetId="165" r:id="rId4"/>
  </sheets>
  <definedNames>
    <definedName name="_xlnm.Print_Area" localSheetId="0">'NST Ідея_Vodafone'!$A$1:$I$103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64" l="1"/>
  <c r="C39" i="164"/>
  <c r="H5" i="165" l="1"/>
  <c r="H6" i="165"/>
  <c r="H4" i="165"/>
  <c r="E2" i="164"/>
  <c r="G2" i="164"/>
  <c r="G3" i="164"/>
  <c r="F2" i="164" l="1"/>
  <c r="H3" i="164"/>
  <c r="G39" i="164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<sst xmlns="http://schemas.openxmlformats.org/spreadsheetml/2006/main" count="171" uniqueCount="163">
  <si>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</si>
  <si>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</si>
  <si>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</si>
  <si>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</si>
  <si>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</si>
  <si>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</si>
  <si>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</si>
  <si>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</si>
  <si>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</si>
  <si>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</si>
  <si>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</si>
  <si>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</si>
  <si>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</si>
  <si>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</si>
  <si>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</si>
  <si>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</si>
  <si>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</si>
  <si>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</si>
  <si>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</si>
  <si>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</si>
  <si>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</si>
  <si>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</si>
  <si>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</si>
  <si>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</si>
  <si>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</si>
  <si>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</si>
  <si>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</si>
  <si>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</si>
  <si>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</si>
  <si>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</si>
  <si>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</si>
  <si>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</si>
  <si>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</si>
  <si>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</si>
  <si>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</si>
  <si>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</si>
  <si>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</si>
  <si>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</si>
  <si>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</si>
  <si>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</si>
  <si>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</si>
  <si>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</si>
  <si>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</si>
  <si>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</si>
  <si>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</si>
  <si>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</si>
  <si>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</si>
  <si>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</si>
  <si>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</si>
  <si>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</si>
  <si>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</si>
  <si>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</si>
  <si>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</si>
  <si>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</si>
  <si>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</si>
  <si>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</si>
  <si>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</si>
  <si>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</si>
  <si>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</si>
  <si>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</si>
  <si>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</si>
  <si>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</si>
  <si>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</si>
  <si>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</si>
  <si>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</si>
  <si>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</si>
  <si>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</si>
  <si>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</si>
  <si>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</si>
  <si>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</si>
  <si>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</si>
  <si>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</si>
  <si>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</si>
  <si>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</si>
  <si>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</si>
  <si>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</si>
  <si>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</si>
  <si>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</si>
  <si>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</si>
  <si>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</si>
  <si>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</si>
  <si>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</si>
  <si>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</si>
  <si>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</si>
  <si>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</si>
  <si>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</si>
  <si>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</si>
  <si>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</si>
  <si>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</si>
  <si>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</si>
  <si>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</si>
  <si>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</si>
  <si>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</si>
  <si>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</si>
  <si>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</si>
  <si>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</si>
  <si>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</si>
  <si>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</si>
  <si>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</si>
  <si>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</si>
  <si>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</si>
  <si>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</si>
  <si>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</si>
  <si>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</si>
  <si>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</si>
  <si>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</si>
  <si>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</si>
  <si>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</si>
  <si>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</si>
  <si>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</si>
  <si>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</si>
  <si>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</si>
  <si>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</si>
  <si>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</si>
  <si>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</si>
  <si>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</si>
  <si>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</si>
  <si>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</si>
  <si>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</si>
  <si>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</si>
  <si>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</si>
  <si>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</si>
  <si>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</si>
  <si>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</si>
  <si>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</si>
  <si>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</si>
  <si>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</si>
  <si>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</si>
  <si>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</si>
  <si>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</si>
  <si>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</si>
  <si>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</si>
  <si>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</si>
  <si>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</si>
  <si>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</si>
  <si>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</si>
  <si>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</si>
  <si>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</si>
  <si>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</si>
  <si>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</si>
  <si>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</si>
  <si>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</si>
  <si>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</si>
  <si>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</si>
  <si>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</si>
  <si>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</si>
  <si>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</si>
  <si>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</si>
  <si>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</si>
  <si>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</si>
  <si>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</si>
  <si>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</si>
  <si>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</si>
  <si>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</si>
  <si>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</si>
  <si>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</si>
  <si>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</si>
  <si>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</si>
  <si>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</si>
  <si>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</si>
  <si>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Vodafone_0-0-36</t>
  </si>
  <si>
    <t>NST Ідея Vodafone_0-4-18</t>
  </si>
  <si>
    <t>NST Ідея Vodafone_0-6-24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</si>
</sst>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7" t="s">
        <v>48</v>
      </c>
      <c r="I1" s="187"/>
    </row>
    <row r="2" spans="1:45" ht="12.75" customHeight="1" x14ac:dyDescent="0.2">
      <c r="A2" s="2"/>
      <c r="B2" s="88"/>
      <c r="C2" s="88"/>
      <c r="D2" s="88"/>
      <c r="E2" s="109">
        <f>VLOOKUP('NST Ідея_Vodafone'!H2,Лист2!A:P,16,FALSE)</f>
        <v>1000</v>
      </c>
      <c r="F2" s="132">
        <f>VLOOKUP(H$2,Лист2!$A:$H,8,0)</f>
        <v>199999.9976</v>
      </c>
      <c r="G2" s="177">
        <f ca="1">TODAY()</f>
        <v>45147</v>
      </c>
      <c r="H2" s="194" t="s">
        <v>160</v>
      </c>
      <c r="I2" s="195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199999.9976</v>
      </c>
      <c r="F3" s="196" t="str">
        <f>IF(E3="x","Збільшіть суму",IF(E3="y","Зменшіть суму",""))</f>
        <v/>
      </c>
      <c r="G3" s="133">
        <f>Назви!B32</f>
        <v>30.4</v>
      </c>
      <c r="H3" s="198">
        <f>VLOOKUP(H$2,Лист2!$A:$H,8,0)</f>
        <v>199999.9976</v>
      </c>
      <c r="I3" s="199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7"/>
      <c r="G4" s="112"/>
      <c r="H4" s="162"/>
      <c r="I4" s="120"/>
      <c r="J4" s="35"/>
      <c r="AA4" s="51"/>
    </row>
    <row r="5" spans="1:45" ht="21" thickBot="1" x14ac:dyDescent="0.25">
      <c r="A5" s="1"/>
      <c r="B5" s="200" t="s">
        <v>42</v>
      </c>
      <c r="C5" s="201"/>
      <c r="D5" s="201"/>
      <c r="E5" s="202"/>
      <c r="F5" s="161">
        <v>192307.69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1" t="s">
        <v>43</v>
      </c>
      <c r="C7" s="192"/>
      <c r="D7" s="192"/>
      <c r="E7" s="193"/>
      <c r="F7" s="163">
        <f>F5+F5*F11+F15+F5*F17</f>
        <v>199999.9976</v>
      </c>
      <c r="G7" s="164"/>
      <c r="H7" s="165"/>
      <c r="I7" s="42"/>
      <c r="J7" s="4"/>
      <c r="K7" s="37"/>
      <c r="L7" s="51" t="str">
        <f>Лист2!A4</f>
        <v>NST Ідея Vodafone_0-4-18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8"/>
      <c r="B8" s="188"/>
      <c r="C8" s="188"/>
      <c r="D8" s="188"/>
      <c r="E8" s="188"/>
      <c r="F8" s="189"/>
      <c r="G8" s="188"/>
      <c r="H8" s="188"/>
      <c r="I8" s="188"/>
      <c r="J8" s="4"/>
      <c r="K8" s="37"/>
      <c r="L8" s="51" t="str">
        <f>Лист2!A5</f>
        <v>NST Ідея Vodafone_0-6-24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3" t="str">
        <f>Назви!A3</f>
        <v>Процентна ставка, % річних</v>
      </c>
      <c r="C9" s="204">
        <f>Назви!B3</f>
        <v>0</v>
      </c>
      <c r="D9" s="204">
        <f>Назви!C3</f>
        <v>0</v>
      </c>
      <c r="E9" s="204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Vodafone_0-0-36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5" t="str">
        <f>Назви!A5</f>
        <v>Разовий страховий тариф, %</v>
      </c>
      <c r="C11" s="206">
        <f>Назви!B5</f>
        <v>0</v>
      </c>
      <c r="D11" s="206">
        <f>Назви!C5</f>
        <v>0</v>
      </c>
      <c r="E11" s="20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7" t="s">
        <v>41</v>
      </c>
      <c r="C13" s="207"/>
      <c r="D13" s="207"/>
      <c r="E13" s="205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90"/>
      <c r="B14" s="190"/>
      <c r="C14" s="190"/>
      <c r="D14" s="190"/>
      <c r="E14" s="190"/>
      <c r="F14" s="190"/>
      <c r="G14" s="190"/>
      <c r="H14" s="190"/>
      <c r="I14" s="190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7" t="s">
        <v>39</v>
      </c>
      <c r="C15" s="207"/>
      <c r="D15" s="207"/>
      <c r="E15" s="205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7" t="s">
        <v>40</v>
      </c>
      <c r="C17" s="207"/>
      <c r="D17" s="207"/>
      <c r="E17" s="207"/>
      <c r="F17" s="134">
        <f>VLOOKUP(H$2,Лист2!$A:$K,11,0)</f>
        <v>0.04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5" t="str">
        <f>Назви!A7</f>
        <v xml:space="preserve">Щомісячна плата за обслуговування кредитної заборгованості, % </v>
      </c>
      <c r="C19" s="206">
        <f>Назви!B7</f>
        <v>0</v>
      </c>
      <c r="D19" s="206">
        <f>Назви!C7</f>
        <v>0</v>
      </c>
      <c r="E19" s="230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5" t="str">
        <f>Назви!A9</f>
        <v>Термін кредитування (міс.)</v>
      </c>
      <c r="C21" s="206">
        <f>Назви!B9</f>
        <v>0</v>
      </c>
      <c r="D21" s="206">
        <f>Назви!C9</f>
        <v>0</v>
      </c>
      <c r="E21" s="230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199999.9976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5" t="str">
        <f>Назви!A14</f>
        <v>Орієнтовні загальні витрати за кредитом, грн.</v>
      </c>
      <c r="C24" s="226"/>
      <c r="D24" s="226"/>
      <c r="E24" s="226"/>
      <c r="F24" s="160">
        <f>G100-E3</f>
        <v>180057.69014700031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5" t="str">
        <f>Назви!A16</f>
        <v>Орієнтовна загальна вартість кредиту, грн.</v>
      </c>
      <c r="C26" s="226">
        <f>Назви!B14</f>
        <v>0</v>
      </c>
      <c r="D26" s="226">
        <f>Назви!C14</f>
        <v>0</v>
      </c>
      <c r="E26" s="227">
        <f>Назви!D14</f>
        <v>0</v>
      </c>
      <c r="F26" s="144">
        <f>E3+F24</f>
        <v>380057.68774700031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5" t="str">
        <f>Назви!A18</f>
        <v>Реальна річна процентна ставка, %</v>
      </c>
      <c r="C28" s="226">
        <f>Назви!B16</f>
        <v>0</v>
      </c>
      <c r="D28" s="226">
        <f>Назви!C16</f>
        <v>0</v>
      </c>
      <c r="E28" s="227">
        <f>Назви!D16</f>
        <v>0</v>
      </c>
      <c r="F28" s="147">
        <f ca="1">XIRR(G39:G87,C39:C87)</f>
        <v>0.65032455325126659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8" t="str">
        <f>Назви!A19</f>
        <v>Інший термін</v>
      </c>
      <c r="C30" s="229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8" t="s">
        <v>32</v>
      </c>
      <c r="C31" s="219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8" t="s">
        <v>33</v>
      </c>
      <c r="C32" s="219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8" t="s">
        <v>9</v>
      </c>
      <c r="C33" s="219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8"/>
      <c r="C34" s="219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20" t="str">
        <f>Назви!A26</f>
        <v xml:space="preserve">ГРАФІК СПЛАТИ КРЕДИТУ </v>
      </c>
      <c r="C37" s="221"/>
      <c r="D37" s="221"/>
      <c r="E37" s="221"/>
      <c r="F37" s="221"/>
      <c r="G37" s="221"/>
      <c r="H37" s="22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3" t="str">
        <f>Назви!A27</f>
        <v>Місяць</v>
      </c>
      <c r="C38" s="22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3" t="str">
        <f>Назви!F27</f>
        <v>Загальна сума внесків до повернення в місяць, грн.</v>
      </c>
      <c r="H38" s="22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45147</v>
      </c>
      <c r="D39" s="91"/>
      <c r="E39" s="92"/>
      <c r="F39" s="91"/>
      <c r="G39" s="158">
        <f>-F5</f>
        <v>-192307.69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45178</v>
      </c>
      <c r="D40" s="19">
        <f>IF(B40&lt;=$F$21,$F$7/$F$21,0)</f>
        <v>5555.5554888888892</v>
      </c>
      <c r="E40" s="20">
        <f>IF(AND(B40&gt;F$13,B40&lt;=$F$21),F$7*F$19,0)</f>
        <v>4999.9999400000006</v>
      </c>
      <c r="F40" s="182">
        <f>IF(B40&lt;=$F$21,F$5*F$9/12,0)</f>
        <v>1.6025640833333334</v>
      </c>
      <c r="G40" s="209">
        <f t="shared" ref="G40:G71" si="0">IF(B$40&lt;=F$21,D40+E40+F40,0)</f>
        <v>10557.157992972223</v>
      </c>
      <c r="H40" s="20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45208</v>
      </c>
      <c r="D41" s="19">
        <f t="shared" ref="D41:D87" si="2">IF(B41&lt;=$F$21,$F$7/$F$21,0)</f>
        <v>5555.5554888888892</v>
      </c>
      <c r="E41" s="20">
        <f t="shared" ref="E41:E99" si="3">IF(AND(B41&gt;F$13,B41&lt;=$F$21),F$7*F$19,0)</f>
        <v>4999.9999400000006</v>
      </c>
      <c r="F41" s="20">
        <f t="shared" ref="F41:F99" si="4">IF(B41&lt;=$F$21,F$5*F$9/12,0)</f>
        <v>1.6025640833333334</v>
      </c>
      <c r="G41" s="209">
        <f t="shared" si="0"/>
        <v>10557.157992972223</v>
      </c>
      <c r="H41" s="20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45239</v>
      </c>
      <c r="D42" s="19">
        <f t="shared" si="2"/>
        <v>5555.5554888888892</v>
      </c>
      <c r="E42" s="20">
        <f t="shared" si="3"/>
        <v>4999.9999400000006</v>
      </c>
      <c r="F42" s="20">
        <f t="shared" si="4"/>
        <v>1.6025640833333334</v>
      </c>
      <c r="G42" s="209">
        <f t="shared" si="0"/>
        <v>10557.157992972223</v>
      </c>
      <c r="H42" s="20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45269</v>
      </c>
      <c r="D43" s="19">
        <f t="shared" si="2"/>
        <v>5555.5554888888892</v>
      </c>
      <c r="E43" s="20">
        <f t="shared" si="3"/>
        <v>4999.9999400000006</v>
      </c>
      <c r="F43" s="20">
        <f t="shared" si="4"/>
        <v>1.6025640833333334</v>
      </c>
      <c r="G43" s="209">
        <f t="shared" si="0"/>
        <v>10557.157992972223</v>
      </c>
      <c r="H43" s="20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45300</v>
      </c>
      <c r="D44" s="19">
        <f t="shared" si="2"/>
        <v>5555.5554888888892</v>
      </c>
      <c r="E44" s="20">
        <f t="shared" si="3"/>
        <v>4999.9999400000006</v>
      </c>
      <c r="F44" s="20">
        <f t="shared" si="4"/>
        <v>1.6025640833333334</v>
      </c>
      <c r="G44" s="209">
        <f t="shared" si="0"/>
        <v>10557.157992972223</v>
      </c>
      <c r="H44" s="20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45331</v>
      </c>
      <c r="D45" s="19">
        <f t="shared" si="2"/>
        <v>5555.5554888888892</v>
      </c>
      <c r="E45" s="20">
        <f t="shared" si="3"/>
        <v>4999.9999400000006</v>
      </c>
      <c r="F45" s="20">
        <f t="shared" si="4"/>
        <v>1.6025640833333334</v>
      </c>
      <c r="G45" s="209">
        <f t="shared" si="0"/>
        <v>10557.157992972223</v>
      </c>
      <c r="H45" s="20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45360</v>
      </c>
      <c r="D46" s="19">
        <f t="shared" si="2"/>
        <v>5555.5554888888892</v>
      </c>
      <c r="E46" s="20">
        <f t="shared" si="3"/>
        <v>4999.9999400000006</v>
      </c>
      <c r="F46" s="20">
        <f t="shared" si="4"/>
        <v>1.6025640833333334</v>
      </c>
      <c r="G46" s="209">
        <f t="shared" si="0"/>
        <v>10557.157992972223</v>
      </c>
      <c r="H46" s="20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45391</v>
      </c>
      <c r="D47" s="19">
        <f t="shared" si="2"/>
        <v>5555.5554888888892</v>
      </c>
      <c r="E47" s="20">
        <f t="shared" si="3"/>
        <v>4999.9999400000006</v>
      </c>
      <c r="F47" s="20">
        <f t="shared" si="4"/>
        <v>1.6025640833333334</v>
      </c>
      <c r="G47" s="209">
        <f t="shared" si="0"/>
        <v>10557.157992972223</v>
      </c>
      <c r="H47" s="20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45421</v>
      </c>
      <c r="D48" s="19">
        <f t="shared" si="2"/>
        <v>5555.5554888888892</v>
      </c>
      <c r="E48" s="20">
        <f t="shared" si="3"/>
        <v>4999.9999400000006</v>
      </c>
      <c r="F48" s="20">
        <f t="shared" si="4"/>
        <v>1.6025640833333334</v>
      </c>
      <c r="G48" s="209">
        <f t="shared" si="0"/>
        <v>10557.157992972223</v>
      </c>
      <c r="H48" s="20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45452</v>
      </c>
      <c r="D49" s="19">
        <f t="shared" si="2"/>
        <v>5555.5554888888892</v>
      </c>
      <c r="E49" s="20">
        <f t="shared" si="3"/>
        <v>4999.9999400000006</v>
      </c>
      <c r="F49" s="20">
        <f t="shared" si="4"/>
        <v>1.6025640833333334</v>
      </c>
      <c r="G49" s="209">
        <f t="shared" si="0"/>
        <v>10557.157992972223</v>
      </c>
      <c r="H49" s="20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45482</v>
      </c>
      <c r="D50" s="19">
        <f t="shared" si="2"/>
        <v>5555.5554888888892</v>
      </c>
      <c r="E50" s="20">
        <f t="shared" si="3"/>
        <v>4999.9999400000006</v>
      </c>
      <c r="F50" s="20">
        <f t="shared" si="4"/>
        <v>1.6025640833333334</v>
      </c>
      <c r="G50" s="209">
        <f t="shared" si="0"/>
        <v>10557.157992972223</v>
      </c>
      <c r="H50" s="20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45513</v>
      </c>
      <c r="D51" s="19">
        <f t="shared" si="2"/>
        <v>5555.5554888888892</v>
      </c>
      <c r="E51" s="20">
        <f t="shared" si="3"/>
        <v>4999.9999400000006</v>
      </c>
      <c r="F51" s="20">
        <f t="shared" si="4"/>
        <v>1.6025640833333334</v>
      </c>
      <c r="G51" s="209">
        <f t="shared" si="0"/>
        <v>10557.157992972223</v>
      </c>
      <c r="H51" s="20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45544</v>
      </c>
      <c r="D52" s="19">
        <f t="shared" si="2"/>
        <v>5555.5554888888892</v>
      </c>
      <c r="E52" s="20">
        <f t="shared" si="3"/>
        <v>4999.9999400000006</v>
      </c>
      <c r="F52" s="20">
        <f t="shared" si="4"/>
        <v>1.6025640833333334</v>
      </c>
      <c r="G52" s="209">
        <f t="shared" si="0"/>
        <v>10557.157992972223</v>
      </c>
      <c r="H52" s="20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45574</v>
      </c>
      <c r="D53" s="19">
        <f t="shared" si="2"/>
        <v>5555.5554888888892</v>
      </c>
      <c r="E53" s="20">
        <f t="shared" si="3"/>
        <v>4999.9999400000006</v>
      </c>
      <c r="F53" s="20">
        <f t="shared" si="4"/>
        <v>1.6025640833333334</v>
      </c>
      <c r="G53" s="209">
        <f t="shared" si="0"/>
        <v>10557.157992972223</v>
      </c>
      <c r="H53" s="20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45605</v>
      </c>
      <c r="D54" s="19">
        <f t="shared" si="2"/>
        <v>5555.5554888888892</v>
      </c>
      <c r="E54" s="20">
        <f t="shared" si="3"/>
        <v>4999.9999400000006</v>
      </c>
      <c r="F54" s="20">
        <f t="shared" si="4"/>
        <v>1.6025640833333334</v>
      </c>
      <c r="G54" s="209">
        <f t="shared" si="0"/>
        <v>10557.157992972223</v>
      </c>
      <c r="H54" s="20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45635</v>
      </c>
      <c r="D55" s="19">
        <f t="shared" si="2"/>
        <v>5555.5554888888892</v>
      </c>
      <c r="E55" s="20">
        <f t="shared" si="3"/>
        <v>4999.9999400000006</v>
      </c>
      <c r="F55" s="20">
        <f t="shared" si="4"/>
        <v>1.6025640833333334</v>
      </c>
      <c r="G55" s="209">
        <f t="shared" si="0"/>
        <v>10557.157992972223</v>
      </c>
      <c r="H55" s="20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45666</v>
      </c>
      <c r="D56" s="19">
        <f t="shared" si="2"/>
        <v>5555.5554888888892</v>
      </c>
      <c r="E56" s="20">
        <f t="shared" si="3"/>
        <v>4999.9999400000006</v>
      </c>
      <c r="F56" s="20">
        <f t="shared" si="4"/>
        <v>1.6025640833333334</v>
      </c>
      <c r="G56" s="209">
        <f t="shared" si="0"/>
        <v>10557.157992972223</v>
      </c>
      <c r="H56" s="20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45697</v>
      </c>
      <c r="D57" s="19">
        <f t="shared" si="2"/>
        <v>5555.5554888888892</v>
      </c>
      <c r="E57" s="20">
        <f t="shared" si="3"/>
        <v>4999.9999400000006</v>
      </c>
      <c r="F57" s="20">
        <f t="shared" si="4"/>
        <v>1.6025640833333334</v>
      </c>
      <c r="G57" s="209">
        <f t="shared" si="0"/>
        <v>10557.157992972223</v>
      </c>
      <c r="H57" s="20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45725</v>
      </c>
      <c r="D58" s="19">
        <f t="shared" si="2"/>
        <v>5555.5554888888892</v>
      </c>
      <c r="E58" s="20">
        <f t="shared" si="3"/>
        <v>4999.9999400000006</v>
      </c>
      <c r="F58" s="20">
        <f t="shared" si="4"/>
        <v>1.6025640833333334</v>
      </c>
      <c r="G58" s="209">
        <f t="shared" si="0"/>
        <v>10557.157992972223</v>
      </c>
      <c r="H58" s="20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45756</v>
      </c>
      <c r="D59" s="19">
        <f t="shared" si="2"/>
        <v>5555.5554888888892</v>
      </c>
      <c r="E59" s="20">
        <f t="shared" si="3"/>
        <v>4999.9999400000006</v>
      </c>
      <c r="F59" s="20">
        <f t="shared" si="4"/>
        <v>1.6025640833333334</v>
      </c>
      <c r="G59" s="209">
        <f t="shared" si="0"/>
        <v>10557.157992972223</v>
      </c>
      <c r="H59" s="20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45786</v>
      </c>
      <c r="D60" s="19">
        <f t="shared" si="2"/>
        <v>5555.5554888888892</v>
      </c>
      <c r="E60" s="20">
        <f t="shared" si="3"/>
        <v>4999.9999400000006</v>
      </c>
      <c r="F60" s="20">
        <f t="shared" si="4"/>
        <v>1.6025640833333334</v>
      </c>
      <c r="G60" s="209">
        <f t="shared" si="0"/>
        <v>10557.157992972223</v>
      </c>
      <c r="H60" s="20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45817</v>
      </c>
      <c r="D61" s="19">
        <f t="shared" si="2"/>
        <v>5555.5554888888892</v>
      </c>
      <c r="E61" s="20">
        <f t="shared" si="3"/>
        <v>4999.9999400000006</v>
      </c>
      <c r="F61" s="20">
        <f t="shared" si="4"/>
        <v>1.6025640833333334</v>
      </c>
      <c r="G61" s="209">
        <f t="shared" si="0"/>
        <v>10557.157992972223</v>
      </c>
      <c r="H61" s="20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45847</v>
      </c>
      <c r="D62" s="19">
        <f t="shared" si="2"/>
        <v>5555.5554888888892</v>
      </c>
      <c r="E62" s="20">
        <f t="shared" si="3"/>
        <v>4999.9999400000006</v>
      </c>
      <c r="F62" s="20">
        <f t="shared" si="4"/>
        <v>1.6025640833333334</v>
      </c>
      <c r="G62" s="209">
        <f t="shared" si="0"/>
        <v>10557.157992972223</v>
      </c>
      <c r="H62" s="20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45878</v>
      </c>
      <c r="D63" s="19">
        <f t="shared" si="2"/>
        <v>5555.5554888888892</v>
      </c>
      <c r="E63" s="20">
        <f t="shared" si="3"/>
        <v>4999.9999400000006</v>
      </c>
      <c r="F63" s="20">
        <f t="shared" si="4"/>
        <v>1.6025640833333334</v>
      </c>
      <c r="G63" s="209">
        <f t="shared" si="0"/>
        <v>10557.157992972223</v>
      </c>
      <c r="H63" s="20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45909</v>
      </c>
      <c r="D64" s="19">
        <f t="shared" si="2"/>
        <v>5555.5554888888892</v>
      </c>
      <c r="E64" s="20">
        <f t="shared" si="3"/>
        <v>4999.9999400000006</v>
      </c>
      <c r="F64" s="20">
        <f t="shared" si="4"/>
        <v>1.6025640833333334</v>
      </c>
      <c r="G64" s="209">
        <f t="shared" si="0"/>
        <v>10557.157992972223</v>
      </c>
      <c r="H64" s="20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45939</v>
      </c>
      <c r="D65" s="19">
        <f t="shared" si="2"/>
        <v>5555.5554888888892</v>
      </c>
      <c r="E65" s="20">
        <f t="shared" si="3"/>
        <v>4999.9999400000006</v>
      </c>
      <c r="F65" s="20">
        <f t="shared" si="4"/>
        <v>1.6025640833333334</v>
      </c>
      <c r="G65" s="209">
        <f t="shared" si="0"/>
        <v>10557.157992972223</v>
      </c>
      <c r="H65" s="20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45970</v>
      </c>
      <c r="D66" s="19">
        <f t="shared" si="2"/>
        <v>5555.5554888888892</v>
      </c>
      <c r="E66" s="20">
        <f t="shared" si="3"/>
        <v>4999.9999400000006</v>
      </c>
      <c r="F66" s="20">
        <f t="shared" si="4"/>
        <v>1.6025640833333334</v>
      </c>
      <c r="G66" s="209">
        <f t="shared" si="0"/>
        <v>10557.157992972223</v>
      </c>
      <c r="H66" s="20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46000</v>
      </c>
      <c r="D67" s="19">
        <f t="shared" si="2"/>
        <v>5555.5554888888892</v>
      </c>
      <c r="E67" s="20">
        <f t="shared" si="3"/>
        <v>4999.9999400000006</v>
      </c>
      <c r="F67" s="20">
        <f t="shared" si="4"/>
        <v>1.6025640833333334</v>
      </c>
      <c r="G67" s="209">
        <f t="shared" si="0"/>
        <v>10557.157992972223</v>
      </c>
      <c r="H67" s="20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46031</v>
      </c>
      <c r="D68" s="19">
        <f t="shared" si="2"/>
        <v>5555.5554888888892</v>
      </c>
      <c r="E68" s="20">
        <f t="shared" si="3"/>
        <v>4999.9999400000006</v>
      </c>
      <c r="F68" s="20">
        <f t="shared" si="4"/>
        <v>1.6025640833333334</v>
      </c>
      <c r="G68" s="209">
        <f t="shared" si="0"/>
        <v>10557.157992972223</v>
      </c>
      <c r="H68" s="20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46062</v>
      </c>
      <c r="D69" s="19">
        <f t="shared" si="2"/>
        <v>5555.5554888888892</v>
      </c>
      <c r="E69" s="20">
        <f t="shared" si="3"/>
        <v>4999.9999400000006</v>
      </c>
      <c r="F69" s="20">
        <f t="shared" si="4"/>
        <v>1.6025640833333334</v>
      </c>
      <c r="G69" s="209">
        <f t="shared" si="0"/>
        <v>10557.157992972223</v>
      </c>
      <c r="H69" s="20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46090</v>
      </c>
      <c r="D70" s="19">
        <f t="shared" si="2"/>
        <v>5555.5554888888892</v>
      </c>
      <c r="E70" s="20">
        <f t="shared" si="3"/>
        <v>4999.9999400000006</v>
      </c>
      <c r="F70" s="20">
        <f t="shared" si="4"/>
        <v>1.6025640833333334</v>
      </c>
      <c r="G70" s="209">
        <f t="shared" si="0"/>
        <v>10557.157992972223</v>
      </c>
      <c r="H70" s="20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46121</v>
      </c>
      <c r="D71" s="19">
        <f t="shared" si="2"/>
        <v>5555.5554888888892</v>
      </c>
      <c r="E71" s="20">
        <f t="shared" si="3"/>
        <v>4999.9999400000006</v>
      </c>
      <c r="F71" s="20">
        <f t="shared" si="4"/>
        <v>1.6025640833333334</v>
      </c>
      <c r="G71" s="209">
        <f t="shared" si="0"/>
        <v>10557.157992972223</v>
      </c>
      <c r="H71" s="20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46151</v>
      </c>
      <c r="D72" s="19">
        <f t="shared" si="2"/>
        <v>5555.5554888888892</v>
      </c>
      <c r="E72" s="20">
        <f t="shared" si="3"/>
        <v>4999.9999400000006</v>
      </c>
      <c r="F72" s="20">
        <f t="shared" si="4"/>
        <v>1.6025640833333334</v>
      </c>
      <c r="G72" s="209">
        <f t="shared" ref="G72:G99" si="5">IF(B$40&lt;=F$21,D72+E72+F72,0)</f>
        <v>10557.157992972223</v>
      </c>
      <c r="H72" s="20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46182</v>
      </c>
      <c r="D73" s="19">
        <f t="shared" si="2"/>
        <v>5555.5554888888892</v>
      </c>
      <c r="E73" s="20">
        <f t="shared" si="3"/>
        <v>4999.9999400000006</v>
      </c>
      <c r="F73" s="20">
        <f t="shared" si="4"/>
        <v>1.6025640833333334</v>
      </c>
      <c r="G73" s="209">
        <f t="shared" si="5"/>
        <v>10557.157992972223</v>
      </c>
      <c r="H73" s="20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46212</v>
      </c>
      <c r="D74" s="19">
        <f t="shared" si="2"/>
        <v>5555.5554888888892</v>
      </c>
      <c r="E74" s="20">
        <f t="shared" si="3"/>
        <v>4999.9999400000006</v>
      </c>
      <c r="F74" s="20">
        <f t="shared" si="4"/>
        <v>1.6025640833333334</v>
      </c>
      <c r="G74" s="209">
        <f t="shared" si="5"/>
        <v>10557.157992972223</v>
      </c>
      <c r="H74" s="20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46243</v>
      </c>
      <c r="D75" s="19">
        <f t="shared" si="2"/>
        <v>5555.5554888888892</v>
      </c>
      <c r="E75" s="20">
        <f t="shared" si="3"/>
        <v>4999.9999400000006</v>
      </c>
      <c r="F75" s="20">
        <f t="shared" si="4"/>
        <v>1.6025640833333334</v>
      </c>
      <c r="G75" s="209">
        <f t="shared" si="5"/>
        <v>10557.157992972223</v>
      </c>
      <c r="H75" s="20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46274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209">
        <f t="shared" si="5"/>
        <v>0</v>
      </c>
      <c r="H76" s="20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46304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209">
        <f t="shared" si="5"/>
        <v>0</v>
      </c>
      <c r="H77" s="20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46335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209">
        <f t="shared" si="5"/>
        <v>0</v>
      </c>
      <c r="H78" s="20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46365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209">
        <f t="shared" si="5"/>
        <v>0</v>
      </c>
      <c r="H79" s="20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46396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209">
        <f t="shared" si="5"/>
        <v>0</v>
      </c>
      <c r="H80" s="20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46427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209">
        <f t="shared" si="5"/>
        <v>0</v>
      </c>
      <c r="H81" s="20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46455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209">
        <f t="shared" si="5"/>
        <v>0</v>
      </c>
      <c r="H82" s="20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46486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209">
        <f t="shared" si="5"/>
        <v>0</v>
      </c>
      <c r="H83" s="20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46516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209">
        <f t="shared" si="5"/>
        <v>0</v>
      </c>
      <c r="H84" s="20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46547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209">
        <f t="shared" si="5"/>
        <v>0</v>
      </c>
      <c r="H85" s="20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46577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209">
        <f t="shared" si="5"/>
        <v>0</v>
      </c>
      <c r="H86" s="20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46608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209">
        <f t="shared" si="5"/>
        <v>0</v>
      </c>
      <c r="H87" s="20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46639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1">
        <f t="shared" si="4"/>
        <v>0</v>
      </c>
      <c r="G88" s="216">
        <f t="shared" si="5"/>
        <v>0</v>
      </c>
      <c r="H88" s="21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46669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10">
        <f t="shared" si="5"/>
        <v>0</v>
      </c>
      <c r="H89" s="211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46700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10">
        <f t="shared" si="5"/>
        <v>0</v>
      </c>
      <c r="H90" s="211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46730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10">
        <f t="shared" si="5"/>
        <v>0</v>
      </c>
      <c r="H91" s="211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46761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10">
        <f t="shared" si="5"/>
        <v>0</v>
      </c>
      <c r="H92" s="211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46792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10">
        <f t="shared" si="5"/>
        <v>0</v>
      </c>
      <c r="H93" s="211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46821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10">
        <f t="shared" si="5"/>
        <v>0</v>
      </c>
      <c r="H94" s="211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46852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10">
        <f t="shared" si="5"/>
        <v>0</v>
      </c>
      <c r="H95" s="211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46882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10">
        <f t="shared" si="5"/>
        <v>0</v>
      </c>
      <c r="H96" s="211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46913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10">
        <f t="shared" si="5"/>
        <v>0</v>
      </c>
      <c r="H97" s="211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46943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10">
        <f t="shared" si="5"/>
        <v>0</v>
      </c>
      <c r="H98" s="211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46974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10">
        <f t="shared" si="5"/>
        <v>0</v>
      </c>
      <c r="H99" s="211"/>
      <c r="I99" s="104"/>
      <c r="J99" s="104"/>
    </row>
    <row r="100" spans="1:19" s="4" customFormat="1" ht="16.5" thickBot="1" x14ac:dyDescent="0.25">
      <c r="A100" s="43"/>
      <c r="B100" s="214" t="s">
        <v>1</v>
      </c>
      <c r="C100" s="215"/>
      <c r="D100" s="93">
        <f>SUM(D40:D99)</f>
        <v>199999.99760000015</v>
      </c>
      <c r="E100" s="93">
        <f>SUM(E40:E99)</f>
        <v>179999.99784000003</v>
      </c>
      <c r="F100" s="99">
        <f>SUM(F40:F99)</f>
        <v>57.692307000000021</v>
      </c>
      <c r="G100" s="212">
        <f>SUM(G40:H99)</f>
        <v>380057.68774700031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8" t="s">
        <v>6</v>
      </c>
      <c r="F102" s="208"/>
      <c r="G102" s="208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cUbPCGE5rPLnXZt1pRvqyF3i4fanyympJr4Pzs6Iyho6M4exVy89o3yL7s6z1GJxwcCmVkpQwhY2RSFIYJnMpg==" saltValue="5VPSh5zJ+/SAZ4qe21xQ2w==" spinCount="100000" sheet="1" objects="1" scenarios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7" t="s">
        <v>16</v>
      </c>
      <c r="B1" s="258"/>
      <c r="C1" s="258"/>
      <c r="D1" s="25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2" t="s">
        <v>44</v>
      </c>
      <c r="B3" s="253">
        <v>0</v>
      </c>
      <c r="C3" s="253">
        <v>0</v>
      </c>
      <c r="D3" s="25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2" t="s">
        <v>45</v>
      </c>
      <c r="B5" s="253">
        <v>0</v>
      </c>
      <c r="C5" s="253">
        <v>0</v>
      </c>
      <c r="D5" s="25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2" t="s">
        <v>46</v>
      </c>
      <c r="B7" s="253">
        <v>0</v>
      </c>
      <c r="C7" s="253">
        <v>0</v>
      </c>
      <c r="D7" s="25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2" t="s">
        <v>158</v>
      </c>
      <c r="B9" s="253"/>
      <c r="C9" s="253"/>
      <c r="D9" s="25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2" t="s">
        <v>157</v>
      </c>
      <c r="B12" s="253">
        <v>0</v>
      </c>
      <c r="C12" s="253">
        <v>0</v>
      </c>
      <c r="D12" s="25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2" t="s">
        <v>47</v>
      </c>
      <c r="B14" s="253">
        <v>0</v>
      </c>
      <c r="C14" s="253">
        <v>0</v>
      </c>
      <c r="D14" s="25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2" t="s">
        <v>156</v>
      </c>
      <c r="B16" s="253">
        <v>0</v>
      </c>
      <c r="C16" s="253">
        <v>0</v>
      </c>
      <c r="D16" s="25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5" t="s">
        <v>8</v>
      </c>
      <c r="B19" s="25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2" t="s">
        <v>20</v>
      </c>
      <c r="B20" s="243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2" t="s">
        <v>9</v>
      </c>
      <c r="B21" s="243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2" t="s">
        <v>18</v>
      </c>
      <c r="B22" s="243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2" t="s">
        <v>19</v>
      </c>
      <c r="B23" s="243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5" t="s">
        <v>30</v>
      </c>
      <c r="B26" s="246"/>
      <c r="C26" s="246"/>
      <c r="D26" s="246"/>
      <c r="E26" s="246"/>
      <c r="F26" s="246"/>
      <c r="G26" s="247"/>
    </row>
    <row r="27" spans="1:8" ht="45.75" thickBot="1" x14ac:dyDescent="0.25">
      <c r="A27" s="248" t="s">
        <v>2</v>
      </c>
      <c r="B27" s="249"/>
      <c r="C27" s="83" t="s">
        <v>4</v>
      </c>
      <c r="D27" s="83" t="s">
        <v>17</v>
      </c>
      <c r="E27" s="83" t="s">
        <v>5</v>
      </c>
      <c r="F27" s="250" t="s">
        <v>3</v>
      </c>
      <c r="G27" s="251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4"/>
      <c r="E29" s="244"/>
      <c r="F29" s="244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161</v>
      </c>
      <c r="B4" s="121">
        <v>49261.08</v>
      </c>
      <c r="C4" s="151">
        <v>18</v>
      </c>
      <c r="D4" s="152">
        <v>1E-4</v>
      </c>
      <c r="E4" s="152">
        <v>0</v>
      </c>
      <c r="F4" s="152">
        <v>2.9899999999999999E-2</v>
      </c>
      <c r="G4" s="151" t="str">
        <f>I$2&amp;" "&amp;B4&amp;" "&amp;H$2</f>
        <v>max. 49261,08 грн.</v>
      </c>
      <c r="H4" s="185">
        <f>B4+B4*K4</f>
        <v>50246.301599999999</v>
      </c>
      <c r="I4" s="151">
        <v>4</v>
      </c>
      <c r="K4" s="186">
        <v>0.02</v>
      </c>
      <c r="L4" s="153">
        <f t="shared" ref="L4" si="0">D4/12/(1-1/POWER(1+D4/12,C4))*H4+H4*F4</f>
        <v>4294.0466137216572</v>
      </c>
      <c r="M4" s="154">
        <f>F4</f>
        <v>2.9899999999999999E-2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162</v>
      </c>
      <c r="B5" s="121">
        <v>49261.08</v>
      </c>
      <c r="C5" s="151">
        <v>24</v>
      </c>
      <c r="D5" s="152">
        <v>1E-4</v>
      </c>
      <c r="E5" s="152">
        <v>0</v>
      </c>
      <c r="F5" s="152">
        <v>2.9899999999999999E-2</v>
      </c>
      <c r="G5" s="151" t="str">
        <f>I$2&amp;" "&amp;B5&amp;" "&amp;H$2</f>
        <v>max. 49261,08 грн.</v>
      </c>
      <c r="H5" s="185">
        <f t="shared" ref="H5:H6" si="1">B5+B5*K5</f>
        <v>50246.301599999999</v>
      </c>
      <c r="I5" s="151">
        <v>6</v>
      </c>
      <c r="K5" s="186">
        <v>0.02</v>
      </c>
      <c r="L5" s="153">
        <f t="shared" ref="L5:L6" si="2">D5/12/(1-1/POWER(1+D5/12,C5))*H5+H5*F5</f>
        <v>3596.17840770167</v>
      </c>
      <c r="M5" s="154">
        <f>F5</f>
        <v>2.9899999999999999E-2</v>
      </c>
      <c r="N5" s="154"/>
      <c r="O5" s="155">
        <v>0</v>
      </c>
      <c r="P5" s="151">
        <v>1000</v>
      </c>
    </row>
    <row r="6" spans="1:16" x14ac:dyDescent="0.2">
      <c r="A6" s="151" t="s">
        <v>160</v>
      </c>
      <c r="B6" s="121">
        <v>192307.69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192307,69 грн.</v>
      </c>
      <c r="H6" s="185">
        <f t="shared" si="1"/>
        <v>199999.9976</v>
      </c>
      <c r="I6" s="151">
        <v>0</v>
      </c>
      <c r="J6" s="151"/>
      <c r="K6" s="184">
        <v>0.04</v>
      </c>
      <c r="L6" s="153">
        <f t="shared" si="2"/>
        <v>10556.411951965314</v>
      </c>
      <c r="M6" s="154">
        <f>F6</f>
        <v>2.5000000000000001E-2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Ідея_Vodafone</vt:lpstr>
      <vt:lpstr>Перелік партнерів</vt:lpstr>
      <vt:lpstr>Назви</vt:lpstr>
      <vt:lpstr>Лист2</vt:lpstr>
      <vt:lpstr>'NST Ідея_Vodafone'!Область_друку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2023-08-09T13:02:35Z</dcterms:modified>
</cp:coreProperties>
</file>