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Big Cash" sheetId="189" r:id="rId1"/>
    <sheet name="Лист2" sheetId="165" state="hidden" r:id="rId2"/>
    <sheet name="Назви" sheetId="161" state="hidden" r:id="rId3"/>
  </sheets>
  <definedNames>
    <definedName name="_xlnm._FilterDatabase" localSheetId="0" hidden="1">'Big Cash'!$A$27:$H$89</definedName>
    <definedName name="_xlnm.Print_Area" localSheetId="0">'Big Cash'!$A$1:$J$92</definedName>
  </definedNames>
  <calcPr calcId="145621"/>
</workbook>
</file>

<file path=xl/calcChain.xml><?xml version="1.0" encoding="utf-8"?>
<calcChain xmlns="http://schemas.openxmlformats.org/spreadsheetml/2006/main">
  <c r="C28" i="189" l="1"/>
  <c r="G4" i="165"/>
  <c r="H4" i="165"/>
  <c r="K4" i="165" s="1"/>
  <c r="G5" i="165"/>
  <c r="H5" i="165"/>
  <c r="K5" i="165"/>
  <c r="K14" i="189" l="1"/>
  <c r="K18" i="189" l="1"/>
  <c r="H8" i="165"/>
  <c r="K8" i="165" s="1"/>
  <c r="G8" i="165"/>
  <c r="K16" i="189" l="1"/>
  <c r="K17" i="189"/>
  <c r="G6" i="165"/>
  <c r="H6" i="165"/>
  <c r="K6" i="165" s="1"/>
  <c r="G7" i="165"/>
  <c r="H7" i="165"/>
  <c r="K7" i="165" s="1"/>
  <c r="K15" i="189" l="1"/>
  <c r="K13" i="189"/>
  <c r="K12" i="189"/>
  <c r="K11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<sst xmlns="http://schemas.openxmlformats.org/spreadsheetml/2006/main" count="56" uniqueCount="51">
  <si>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</si>
  <si>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</si>
  <si>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</si>
  <si>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</si>
  <si>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</si>
  <si>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</si>
  <si>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</si>
  <si>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</si>
  <si>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</si>
  <si>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</si>
  <si>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</si>
  <si>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</si>
  <si>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</si>
  <si>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</si>
  <si>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</si>
  <si>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</si>
  <si>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</si>
  <si>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</si>
  <si>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</si>
  <si>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</si>
  <si>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</si>
  <si>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</si>
  <si>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</si>
  <si>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</si>
  <si>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</si>
  <si>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</si>
  <si>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</si>
  <si>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</si>
  <si>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</si>
  <si>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</si>
  <si>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</si>
  <si>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</si>
  <si>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</si>
  <si>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</si>
  <si>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</si>
  <si>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</si>
  <si>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</si>
  <si>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</si>
  <si>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</si>
  <si>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</si>
  <si>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</si>
  <si>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</si>
  <si>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</si>
  <si>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</si>
  <si>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</si>
  <si>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</si>
  <si>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Big Cash,  60 міс.</t>
  </si>
  <si>
    <t>Big Cash,  48 міс.</t>
  </si>
  <si>
    <t>Big Cash,  36 міс.</t>
  </si>
  <si>
    <t>Big Cash,  24 міс.</t>
  </si>
  <si>
    <t>Big Cash, 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</si>
</sst>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" xfId="23" applyNumberFormat="1" applyFont="1" applyBorder="1" applyAlignment="1" applyProtection="1">
      <alignment horizontal="center"/>
    </xf>
    <xf numFmtId="4" fontId="16" fillId="0" borderId="14" xfId="23" applyNumberFormat="1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10" fontId="16" fillId="0" borderId="0" xfId="23" applyNumberFormat="1" applyFont="1" applyFill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4.4414062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4.6640625" style="3" hidden="1" customWidth="1"/>
    <col min="11" max="11" width="15.5546875" style="4" hidden="1" customWidth="1" outlineLevel="1"/>
    <col min="12" max="12" width="25.77734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4" t="s">
        <v>40</v>
      </c>
      <c r="I1" s="184"/>
    </row>
    <row r="2" spans="1:29" s="43" customFormat="1" ht="12.75" customHeight="1" x14ac:dyDescent="0.25">
      <c r="A2" s="29"/>
      <c r="B2" s="117"/>
      <c r="C2" s="117"/>
      <c r="D2" s="117"/>
      <c r="E2" s="126">
        <f>VLOOKUP('Big Cash'!H2,Лист2!A:N,14,FALSE)</f>
        <v>300001</v>
      </c>
      <c r="F2" s="118">
        <f>VLOOKUP(H$2,Лист2!$A:$G,2,0)</f>
        <v>500000</v>
      </c>
      <c r="G2" s="134">
        <f ca="1">TODAY()</f>
        <v>45350</v>
      </c>
      <c r="H2" s="185" t="s">
        <v>48</v>
      </c>
      <c r="I2" s="186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500000</v>
      </c>
      <c r="F3" s="187" t="str">
        <f>IF(E3="x","Збільшіть суму",IF(E3="y","Зменшіть суму",""))</f>
        <v/>
      </c>
      <c r="G3" s="67">
        <f>Назви!B33</f>
        <v>30.4</v>
      </c>
      <c r="H3" s="189" t="str">
        <f>VLOOKUP(H$2,Лист2!$A:$G,7,0)</f>
        <v>max. 500000 грн.</v>
      </c>
      <c r="I3" s="190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88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91" t="s">
        <v>45</v>
      </c>
      <c r="C5" s="192"/>
      <c r="D5" s="192"/>
      <c r="E5" s="193"/>
      <c r="F5" s="153">
        <v>500000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78" t="s">
        <v>41</v>
      </c>
      <c r="C7" s="179"/>
      <c r="D7" s="179"/>
      <c r="E7" s="180"/>
      <c r="F7" s="17">
        <f>D89</f>
        <v>500000.00000000006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78" t="str">
        <f>Назви!A3</f>
        <v>Процентна ставка, % річних</v>
      </c>
      <c r="C9" s="179">
        <f>Назви!B3</f>
        <v>0</v>
      </c>
      <c r="D9" s="179">
        <f>Назви!C3</f>
        <v>0</v>
      </c>
      <c r="E9" s="180">
        <f>Назви!D3</f>
        <v>0</v>
      </c>
      <c r="F9" s="39">
        <f>VLOOKUP(H$2,Лист2!$A:$G,4,0)</f>
        <v>0.65</v>
      </c>
      <c r="G9" s="170"/>
      <c r="H9" s="170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78" t="str">
        <f>Назви!A5</f>
        <v>Разовий страховий тариф, %</v>
      </c>
      <c r="C11" s="179">
        <f>Назви!B5</f>
        <v>0</v>
      </c>
      <c r="D11" s="179">
        <f>Назви!C5</f>
        <v>0</v>
      </c>
      <c r="E11" s="180">
        <f>Назви!D5</f>
        <v>0</v>
      </c>
      <c r="F11" s="39">
        <f>VLOOKUP(H$2,Лист2!$A:$G,5,0)</f>
        <v>0</v>
      </c>
      <c r="G11" s="170"/>
      <c r="H11" s="170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78" t="str">
        <f>Назви!A7</f>
        <v xml:space="preserve">Щомісячна плата за обслуговування кредитної заборгованості, % </v>
      </c>
      <c r="C13" s="179">
        <f>Назви!B7</f>
        <v>0</v>
      </c>
      <c r="D13" s="179">
        <f>Назви!C7</f>
        <v>0</v>
      </c>
      <c r="E13" s="180">
        <f>Назви!D7</f>
        <v>0</v>
      </c>
      <c r="F13" s="39">
        <f>VLOOKUP(H$2,Лист2!$A:$G,6,0)</f>
        <v>0</v>
      </c>
      <c r="G13" s="170"/>
      <c r="H13" s="170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Лист2!A4</f>
        <v>Big Cash,  60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78" t="str">
        <f>Назви!A9</f>
        <v>Термін кредитування (міс.)</v>
      </c>
      <c r="C15" s="179">
        <f>Назви!B9</f>
        <v>0</v>
      </c>
      <c r="D15" s="179">
        <f>Назви!C9</f>
        <v>0</v>
      </c>
      <c r="E15" s="180">
        <f>Назви!D9</f>
        <v>0</v>
      </c>
      <c r="F15" s="63">
        <f>VLOOKUP(H$2,Лист2!$A:$G,3,0)</f>
        <v>36</v>
      </c>
      <c r="G15" s="170"/>
      <c r="H15" s="170"/>
      <c r="I15" s="3"/>
      <c r="J15" s="53"/>
      <c r="K15" s="131" t="str">
        <f>Лист2!A5</f>
        <v>Big Cash,  48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Лист2!A6</f>
        <v>Big Cash,  36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500000</v>
      </c>
      <c r="F17" s="117"/>
      <c r="G17" s="112"/>
      <c r="H17" s="16"/>
      <c r="I17" s="1"/>
      <c r="J17" s="116"/>
      <c r="K17" s="131" t="str">
        <f>Лист2!A7</f>
        <v>Big Cash,  24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67" t="str">
        <f>Назви!A12</f>
        <v>Орієнтовний платіж, грн.</v>
      </c>
      <c r="C18" s="168">
        <f>Назви!B12</f>
        <v>0</v>
      </c>
      <c r="D18" s="168">
        <f>Назви!C12</f>
        <v>0</v>
      </c>
      <c r="E18" s="169">
        <f>Назви!D12</f>
        <v>0</v>
      </c>
      <c r="F18" s="17">
        <f>PMT(F9/12,F15,-E17)+F13*E17</f>
        <v>31852.07335445195</v>
      </c>
      <c r="G18" s="181"/>
      <c r="H18" s="182"/>
      <c r="I18" s="123"/>
      <c r="J18" s="54"/>
      <c r="K18" s="131" t="str">
        <f>Лист2!A8</f>
        <v>Big Cash, 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67" t="str">
        <f>Назви!A14</f>
        <v>Орієнтовні загальні витрати за кредитом, грн.</v>
      </c>
      <c r="C20" s="168">
        <f>Назви!B14</f>
        <v>0</v>
      </c>
      <c r="D20" s="168">
        <f>Назви!C14</f>
        <v>0</v>
      </c>
      <c r="E20" s="169">
        <f>Назви!D14</f>
        <v>0</v>
      </c>
      <c r="F20" s="17">
        <f>G89-E3</f>
        <v>646674.64076026971</v>
      </c>
      <c r="G20" s="183"/>
      <c r="H20" s="183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67" t="str">
        <f>Назви!A16</f>
        <v>Орієнтовна загальна вартість кредиту, грн.</v>
      </c>
      <c r="C22" s="168">
        <f>Назви!B16</f>
        <v>0</v>
      </c>
      <c r="D22" s="168">
        <f>Назви!C16</f>
        <v>0</v>
      </c>
      <c r="E22" s="169">
        <f>Назви!D16</f>
        <v>0</v>
      </c>
      <c r="F22" s="17">
        <f>E3+F20</f>
        <v>1146674.6407602697</v>
      </c>
      <c r="G22" s="170"/>
      <c r="H22" s="170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67" t="str">
        <f>Назви!A18</f>
        <v>Орієнтовна реальна річна процентна ставка, %</v>
      </c>
      <c r="C24" s="168"/>
      <c r="D24" s="168"/>
      <c r="E24" s="169"/>
      <c r="F24" s="39">
        <f ca="1">XIRR(G28:G88,C28:C88)</f>
        <v>0.88473035097122166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71" t="str">
        <f>Назви!A27</f>
        <v>Орієнтовний порядок повернення кредиту</v>
      </c>
      <c r="C26" s="172"/>
      <c r="D26" s="172"/>
      <c r="E26" s="172"/>
      <c r="F26" s="172"/>
      <c r="G26" s="172"/>
      <c r="H26" s="17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74" t="str">
        <f>Назви!F28</f>
        <v>Сума платежу за розрахунковий період, грн.</v>
      </c>
      <c r="H27" s="17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45350</v>
      </c>
      <c r="D28" s="108"/>
      <c r="E28" s="109"/>
      <c r="F28" s="108"/>
      <c r="G28" s="176">
        <f>-1*E3</f>
        <v>-500000</v>
      </c>
      <c r="H28" s="17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45379</v>
      </c>
      <c r="D29" s="148">
        <f>IFERROR(PPMT($F$9/12,B29,$F$15,-$E$3),0)</f>
        <v>4768.7400211186186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27083.333333333336</v>
      </c>
      <c r="G29" s="165">
        <f>SUM(D29:F29)</f>
        <v>31852.073354451953</v>
      </c>
      <c r="H29" s="165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45410</v>
      </c>
      <c r="D30" s="148">
        <f t="shared" ref="D30:D88" si="1">IFERROR(PPMT($F$9/12,B30,$F$15,-$E$3),0)</f>
        <v>5027.0467722625444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26825.026582189406</v>
      </c>
      <c r="G30" s="165">
        <f t="shared" ref="G30:G88" si="3">SUM(D30:F30)</f>
        <v>31852.07335445195</v>
      </c>
      <c r="H30" s="165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45440</v>
      </c>
      <c r="D31" s="148">
        <f t="shared" si="1"/>
        <v>5299.3451390934315</v>
      </c>
      <c r="E31" s="159">
        <f>IF(B31&lt;=$F$15,(E$17*(VLOOKUP($H$2,Лист2!$A:$N,12,0)-(B31-1)*VLOOKUP($H$2,Лист2!$A:$N,13,0))),0)</f>
        <v>0</v>
      </c>
      <c r="F31" s="149">
        <f t="shared" si="2"/>
        <v>26552.728215358518</v>
      </c>
      <c r="G31" s="165">
        <f t="shared" si="3"/>
        <v>31852.07335445195</v>
      </c>
      <c r="H31" s="165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45471</v>
      </c>
      <c r="D32" s="148">
        <f t="shared" si="1"/>
        <v>5586.3930007943263</v>
      </c>
      <c r="E32" s="159">
        <f>IF(B32&lt;=$F$15,(E$17*(VLOOKUP($H$2,Лист2!$A:$N,12,0)-(B32-1)*VLOOKUP($H$2,Лист2!$A:$N,13,0))),0)</f>
        <v>0</v>
      </c>
      <c r="F32" s="149">
        <f t="shared" si="2"/>
        <v>26265.680353657626</v>
      </c>
      <c r="G32" s="165">
        <f t="shared" si="3"/>
        <v>31852.073354451953</v>
      </c>
      <c r="H32" s="165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45501</v>
      </c>
      <c r="D33" s="148">
        <f t="shared" si="1"/>
        <v>5888.9892883373523</v>
      </c>
      <c r="E33" s="159">
        <f>IF(B33&lt;=$F$15,(E$17*(VLOOKUP($H$2,Лист2!$A:$N,12,0)-(B33-1)*VLOOKUP($H$2,Лист2!$A:$N,13,0))),0)</f>
        <v>0</v>
      </c>
      <c r="F33" s="149">
        <f t="shared" si="2"/>
        <v>25963.084066114599</v>
      </c>
      <c r="G33" s="165">
        <f t="shared" si="3"/>
        <v>31852.073354451953</v>
      </c>
      <c r="H33" s="165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45532</v>
      </c>
      <c r="D34" s="148">
        <f t="shared" si="1"/>
        <v>6207.9762081222925</v>
      </c>
      <c r="E34" s="159">
        <f>IF(B34&lt;=$F$15,(E$17*(VLOOKUP($H$2,Лист2!$A:$N,12,0)-(B34-1)*VLOOKUP($H$2,Лист2!$A:$N,13,0))),0)</f>
        <v>0</v>
      </c>
      <c r="F34" s="149">
        <f t="shared" si="2"/>
        <v>25644.097146329659</v>
      </c>
      <c r="G34" s="165">
        <f t="shared" si="3"/>
        <v>31852.073354451953</v>
      </c>
      <c r="H34" s="165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45563</v>
      </c>
      <c r="D35" s="148">
        <f t="shared" si="1"/>
        <v>6544.2415860622486</v>
      </c>
      <c r="E35" s="159">
        <f>IF(B35&lt;=$F$15,(E$17*(VLOOKUP($H$2,Лист2!$A:$N,12,0)-(B35-1)*VLOOKUP($H$2,Лист2!$A:$N,13,0))),0)</f>
        <v>0</v>
      </c>
      <c r="F35" s="149">
        <f t="shared" si="2"/>
        <v>25307.831768389704</v>
      </c>
      <c r="G35" s="165">
        <f t="shared" si="3"/>
        <v>31852.073354451953</v>
      </c>
      <c r="H35" s="165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45593</v>
      </c>
      <c r="D36" s="148">
        <f t="shared" si="1"/>
        <v>6898.721338640622</v>
      </c>
      <c r="E36" s="159">
        <f>IF(B36&lt;=$F$15,(E$17*(VLOOKUP($H$2,Лист2!$A:$N,12,0)-(B36-1)*VLOOKUP($H$2,Лист2!$A:$N,13,0))),0)</f>
        <v>0</v>
      </c>
      <c r="F36" s="149">
        <f t="shared" si="2"/>
        <v>24953.352015811328</v>
      </c>
      <c r="G36" s="165">
        <f t="shared" si="3"/>
        <v>31852.07335445195</v>
      </c>
      <c r="H36" s="165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45624</v>
      </c>
      <c r="D37" s="148">
        <f t="shared" si="1"/>
        <v>7272.4020778169879</v>
      </c>
      <c r="E37" s="159">
        <f>IF(B37&lt;=$F$15,(E$17*(VLOOKUP($H$2,Лист2!$A:$N,12,0)-(B37-1)*VLOOKUP($H$2,Лист2!$A:$N,13,0))),0)</f>
        <v>0</v>
      </c>
      <c r="F37" s="149">
        <f t="shared" si="2"/>
        <v>24579.671276634966</v>
      </c>
      <c r="G37" s="165">
        <f t="shared" si="3"/>
        <v>31852.073354451953</v>
      </c>
      <c r="H37" s="165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45654</v>
      </c>
      <c r="D38" s="148">
        <f t="shared" si="1"/>
        <v>7666.3238570320746</v>
      </c>
      <c r="E38" s="159">
        <f>IF(B38&lt;=$F$15,(E$17*(VLOOKUP($H$2,Лист2!$A:$N,12,0)-(B38-1)*VLOOKUP($H$2,Лист2!$A:$N,13,0))),0)</f>
        <v>0</v>
      </c>
      <c r="F38" s="149">
        <f t="shared" si="2"/>
        <v>24185.749497419878</v>
      </c>
      <c r="G38" s="165">
        <f t="shared" si="3"/>
        <v>31852.073354451953</v>
      </c>
      <c r="H38" s="165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45685</v>
      </c>
      <c r="D39" s="148">
        <f t="shared" si="1"/>
        <v>8081.5830659546455</v>
      </c>
      <c r="E39" s="159">
        <f>IF(B39&lt;=$F$15,(E$17*(VLOOKUP($H$2,Лист2!$A:$N,12,0)-(B39-1)*VLOOKUP($H$2,Лист2!$A:$N,13,0))),0)</f>
        <v>0</v>
      </c>
      <c r="F39" s="149">
        <f t="shared" si="2"/>
        <v>23770.490288497309</v>
      </c>
      <c r="G39" s="165">
        <f t="shared" si="3"/>
        <v>31852.073354451953</v>
      </c>
      <c r="H39" s="165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45716</v>
      </c>
      <c r="D40" s="148">
        <f t="shared" si="1"/>
        <v>8519.335482027187</v>
      </c>
      <c r="E40" s="159">
        <f>IF(B40&lt;=$F$15,(E$17*(VLOOKUP($H$2,Лист2!$A:$N,12,0)-(B40-1)*VLOOKUP($H$2,Лист2!$A:$N,13,0))),0)</f>
        <v>0</v>
      </c>
      <c r="F40" s="149">
        <f t="shared" si="2"/>
        <v>23332.737872424765</v>
      </c>
      <c r="G40" s="165">
        <f t="shared" si="3"/>
        <v>31852.073354451953</v>
      </c>
      <c r="H40" s="165"/>
      <c r="I40" s="3"/>
    </row>
    <row r="41" spans="1:11" x14ac:dyDescent="0.25">
      <c r="A41" s="1">
        <v>13</v>
      </c>
      <c r="B41" s="119">
        <v>13</v>
      </c>
      <c r="C41" s="157">
        <f t="shared" ca="1" si="0"/>
        <v>45744</v>
      </c>
      <c r="D41" s="148">
        <f t="shared" si="1"/>
        <v>8980.7994873036605</v>
      </c>
      <c r="E41" s="159">
        <f>IF(B41&lt;=$F$15,(E$17*(VLOOKUP($H$2,Лист2!$A:$N,12,0)-(B41-1)*VLOOKUP($H$2,Лист2!$A:$N,13,0))),0)</f>
        <v>0</v>
      </c>
      <c r="F41" s="149">
        <f t="shared" si="2"/>
        <v>22871.273867148291</v>
      </c>
      <c r="G41" s="165">
        <f t="shared" si="3"/>
        <v>31852.073354451953</v>
      </c>
      <c r="H41" s="165"/>
      <c r="I41" s="3"/>
    </row>
    <row r="42" spans="1:11" x14ac:dyDescent="0.25">
      <c r="A42" s="1">
        <v>14</v>
      </c>
      <c r="B42" s="119">
        <v>14</v>
      </c>
      <c r="C42" s="157">
        <f t="shared" ca="1" si="0"/>
        <v>45775</v>
      </c>
      <c r="D42" s="148">
        <f t="shared" si="1"/>
        <v>9467.25945953261</v>
      </c>
      <c r="E42" s="159">
        <f>IF(B42&lt;=$F$15,(E$17*(VLOOKUP($H$2,Лист2!$A:$N,12,0)-(B42-1)*VLOOKUP($H$2,Лист2!$A:$N,13,0))),0)</f>
        <v>0</v>
      </c>
      <c r="F42" s="149">
        <f t="shared" si="2"/>
        <v>22384.813894919342</v>
      </c>
      <c r="G42" s="165">
        <f t="shared" si="3"/>
        <v>31852.073354451953</v>
      </c>
      <c r="H42" s="165"/>
      <c r="I42" s="3"/>
    </row>
    <row r="43" spans="1:11" x14ac:dyDescent="0.25">
      <c r="A43" s="1">
        <v>15</v>
      </c>
      <c r="B43" s="119">
        <v>15</v>
      </c>
      <c r="C43" s="157">
        <f t="shared" ca="1" si="0"/>
        <v>45805</v>
      </c>
      <c r="D43" s="148">
        <f t="shared" si="1"/>
        <v>9980.0693469239613</v>
      </c>
      <c r="E43" s="159">
        <f>IF(B43&lt;=$F$15,(E$17*(VLOOKUP($H$2,Лист2!$A:$N,12,0)-(B43-1)*VLOOKUP($H$2,Лист2!$A:$N,13,0))),0)</f>
        <v>0</v>
      </c>
      <c r="F43" s="149">
        <f t="shared" si="2"/>
        <v>21872.00400752799</v>
      </c>
      <c r="G43" s="165">
        <f t="shared" si="3"/>
        <v>31852.073354451953</v>
      </c>
      <c r="H43" s="165"/>
      <c r="I43" s="3"/>
    </row>
    <row r="44" spans="1:11" x14ac:dyDescent="0.25">
      <c r="A44" s="1">
        <v>16</v>
      </c>
      <c r="B44" s="119">
        <v>16</v>
      </c>
      <c r="C44" s="157">
        <f t="shared" ca="1" si="0"/>
        <v>45836</v>
      </c>
      <c r="D44" s="148">
        <f t="shared" si="1"/>
        <v>10520.656436549009</v>
      </c>
      <c r="E44" s="159">
        <f>IF(B44&lt;=$F$15,(E$17*(VLOOKUP($H$2,Лист2!$A:$N,12,0)-(B44-1)*VLOOKUP($H$2,Лист2!$A:$N,13,0))),0)</f>
        <v>0</v>
      </c>
      <c r="F44" s="149">
        <f t="shared" si="2"/>
        <v>21331.416917902941</v>
      </c>
      <c r="G44" s="165">
        <f t="shared" si="3"/>
        <v>31852.07335445195</v>
      </c>
      <c r="H44" s="165"/>
      <c r="I44" s="3"/>
    </row>
    <row r="45" spans="1:11" x14ac:dyDescent="0.25">
      <c r="A45" s="1">
        <v>22</v>
      </c>
      <c r="B45" s="119">
        <v>17</v>
      </c>
      <c r="C45" s="157">
        <f t="shared" ca="1" si="0"/>
        <v>45866</v>
      </c>
      <c r="D45" s="148">
        <f t="shared" si="1"/>
        <v>11090.52532686208</v>
      </c>
      <c r="E45" s="159">
        <f>IF(B45&lt;=$F$15,(E$17*(VLOOKUP($H$2,Лист2!$A:$N,12,0)-(B45-1)*VLOOKUP($H$2,Лист2!$A:$N,13,0))),0)</f>
        <v>0</v>
      </c>
      <c r="F45" s="149">
        <f t="shared" si="2"/>
        <v>20761.548027589874</v>
      </c>
      <c r="G45" s="165">
        <f t="shared" si="3"/>
        <v>31852.073354451953</v>
      </c>
      <c r="H45" s="165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45897</v>
      </c>
      <c r="D46" s="148">
        <f t="shared" si="1"/>
        <v>11691.262115400441</v>
      </c>
      <c r="E46" s="159">
        <f>IF(B46&lt;=$F$15,(E$17*(VLOOKUP($H$2,Лист2!$A:$N,12,0)-(B46-1)*VLOOKUP($H$2,Лист2!$A:$N,13,0))),0)</f>
        <v>0</v>
      </c>
      <c r="F46" s="149">
        <f t="shared" si="2"/>
        <v>20160.811239051513</v>
      </c>
      <c r="G46" s="165">
        <f t="shared" si="3"/>
        <v>31852.073354451953</v>
      </c>
      <c r="H46" s="165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45928</v>
      </c>
      <c r="D47" s="148">
        <f t="shared" si="1"/>
        <v>12324.538813317966</v>
      </c>
      <c r="E47" s="159">
        <f>IF(B47&lt;=$F$15,(E$17*(VLOOKUP($H$2,Лист2!$A:$N,12,0)-(B47-1)*VLOOKUP($H$2,Лист2!$A:$N,13,0))),0)</f>
        <v>0</v>
      </c>
      <c r="F47" s="149">
        <f t="shared" si="2"/>
        <v>19527.534541133988</v>
      </c>
      <c r="G47" s="165">
        <f t="shared" si="3"/>
        <v>31852.073354451953</v>
      </c>
      <c r="H47" s="165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45958</v>
      </c>
      <c r="D48" s="148">
        <f t="shared" si="1"/>
        <v>12992.117999039356</v>
      </c>
      <c r="E48" s="159">
        <f>IF(B48&lt;=$F$15,(E$17*(VLOOKUP($H$2,Лист2!$A:$N,12,0)-(B48-1)*VLOOKUP($H$2,Лист2!$A:$N,13,0))),0)</f>
        <v>0</v>
      </c>
      <c r="F48" s="149">
        <f t="shared" si="2"/>
        <v>18859.955355412596</v>
      </c>
      <c r="G48" s="165">
        <f t="shared" si="3"/>
        <v>31852.073354451953</v>
      </c>
      <c r="H48" s="165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45989</v>
      </c>
      <c r="D49" s="148">
        <f t="shared" si="1"/>
        <v>13695.857723987321</v>
      </c>
      <c r="E49" s="159">
        <f>IF(B49&lt;=$F$15,(E$17*(VLOOKUP($H$2,Лист2!$A:$N,12,0)-(B49-1)*VLOOKUP($H$2,Лист2!$A:$N,13,0))),0)</f>
        <v>0</v>
      </c>
      <c r="F49" s="149">
        <f t="shared" si="2"/>
        <v>18156.215630464631</v>
      </c>
      <c r="G49" s="165">
        <f t="shared" si="3"/>
        <v>31852.073354451953</v>
      </c>
      <c r="H49" s="165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46019</v>
      </c>
      <c r="D50" s="148">
        <f t="shared" si="1"/>
        <v>14437.716684036632</v>
      </c>
      <c r="E50" s="159">
        <f>IF(B50&lt;=$F$15,(E$17*(VLOOKUP($H$2,Лист2!$A:$N,12,0)-(B50-1)*VLOOKUP($H$2,Лист2!$A:$N,13,0))),0)</f>
        <v>0</v>
      </c>
      <c r="F50" s="149">
        <f t="shared" si="2"/>
        <v>17414.356670415316</v>
      </c>
      <c r="G50" s="165">
        <f t="shared" si="3"/>
        <v>31852.073354451946</v>
      </c>
      <c r="H50" s="165"/>
      <c r="I50" s="3"/>
    </row>
    <row r="51" spans="1:11" x14ac:dyDescent="0.25">
      <c r="A51" s="59">
        <v>25</v>
      </c>
      <c r="B51" s="119">
        <v>23</v>
      </c>
      <c r="C51" s="157">
        <f t="shared" ca="1" si="0"/>
        <v>46050</v>
      </c>
      <c r="D51" s="148">
        <f t="shared" si="1"/>
        <v>15219.759671088617</v>
      </c>
      <c r="E51" s="159">
        <f>IF(B51&lt;=$F$15,(E$17*(VLOOKUP($H$2,Лист2!$A:$N,12,0)-(B51-1)*VLOOKUP($H$2,Лист2!$A:$N,13,0))),0)</f>
        <v>0</v>
      </c>
      <c r="F51" s="149">
        <f t="shared" si="2"/>
        <v>16632.313683363336</v>
      </c>
      <c r="G51" s="165">
        <f t="shared" si="3"/>
        <v>31852.073354451953</v>
      </c>
      <c r="H51" s="165"/>
      <c r="I51" s="3"/>
    </row>
    <row r="52" spans="1:11" x14ac:dyDescent="0.25">
      <c r="A52" s="59"/>
      <c r="B52" s="119">
        <v>24</v>
      </c>
      <c r="C52" s="157">
        <f t="shared" ca="1" si="0"/>
        <v>46081</v>
      </c>
      <c r="D52" s="148">
        <f t="shared" si="1"/>
        <v>16044.163319939249</v>
      </c>
      <c r="E52" s="159">
        <f>IF(B52&lt;=$F$15,(E$17*(VLOOKUP($H$2,Лист2!$A:$N,12,0)-(B52-1)*VLOOKUP($H$2,Лист2!$A:$N,13,0))),0)</f>
        <v>0</v>
      </c>
      <c r="F52" s="149">
        <f t="shared" si="2"/>
        <v>15807.910034512701</v>
      </c>
      <c r="G52" s="165">
        <f t="shared" si="3"/>
        <v>31852.07335445195</v>
      </c>
      <c r="H52" s="165"/>
      <c r="I52" s="3"/>
    </row>
    <row r="53" spans="1:11" x14ac:dyDescent="0.25">
      <c r="A53" s="59"/>
      <c r="B53" s="119">
        <v>25</v>
      </c>
      <c r="C53" s="157">
        <f t="shared" ca="1" si="0"/>
        <v>46109</v>
      </c>
      <c r="D53" s="148">
        <f t="shared" si="1"/>
        <v>16913.222166435957</v>
      </c>
      <c r="E53" s="159">
        <f>IF(B53&lt;=$F$15,(E$17*(VLOOKUP($H$2,Лист2!$A:$N,12,0)-(B53-1)*VLOOKUP($H$2,Лист2!$A:$N,13,0))),0)</f>
        <v>0</v>
      </c>
      <c r="F53" s="149">
        <f t="shared" si="2"/>
        <v>14938.851188015993</v>
      </c>
      <c r="G53" s="165">
        <f t="shared" si="3"/>
        <v>31852.07335445195</v>
      </c>
      <c r="H53" s="165"/>
      <c r="I53" s="3"/>
    </row>
    <row r="54" spans="1:11" x14ac:dyDescent="0.25">
      <c r="A54" s="59"/>
      <c r="B54" s="119">
        <v>26</v>
      </c>
      <c r="C54" s="157">
        <f t="shared" ca="1" si="0"/>
        <v>46140</v>
      </c>
      <c r="D54" s="148">
        <f t="shared" si="1"/>
        <v>17829.355033784577</v>
      </c>
      <c r="E54" s="159">
        <f>IF(B54&lt;=$F$15,(E$17*(VLOOKUP($H$2,Лист2!$A:$N,12,0)-(B54-1)*VLOOKUP($H$2,Лист2!$A:$N,13,0))),0)</f>
        <v>0</v>
      </c>
      <c r="F54" s="149">
        <f t="shared" si="2"/>
        <v>14022.718320667376</v>
      </c>
      <c r="G54" s="165">
        <f t="shared" si="3"/>
        <v>31852.073354451953</v>
      </c>
      <c r="H54" s="165"/>
      <c r="I54" s="3"/>
    </row>
    <row r="55" spans="1:11" x14ac:dyDescent="0.25">
      <c r="A55" s="59"/>
      <c r="B55" s="119">
        <v>27</v>
      </c>
      <c r="C55" s="157">
        <f t="shared" ca="1" si="0"/>
        <v>46170</v>
      </c>
      <c r="D55" s="148">
        <f t="shared" si="1"/>
        <v>18795.111764781239</v>
      </c>
      <c r="E55" s="159">
        <f>IF(B55&lt;=$F$15,(E$17*(VLOOKUP($H$2,Лист2!$A:$N,12,0)-(B55-1)*VLOOKUP($H$2,Лист2!$A:$N,13,0))),0)</f>
        <v>0</v>
      </c>
      <c r="F55" s="149">
        <f t="shared" si="2"/>
        <v>13056.961589670709</v>
      </c>
      <c r="G55" s="165">
        <f t="shared" si="3"/>
        <v>31852.073354451946</v>
      </c>
      <c r="H55" s="165"/>
      <c r="I55" s="3"/>
    </row>
    <row r="56" spans="1:11" x14ac:dyDescent="0.25">
      <c r="A56" s="59"/>
      <c r="B56" s="119">
        <v>28</v>
      </c>
      <c r="C56" s="157">
        <f t="shared" ca="1" si="0"/>
        <v>46201</v>
      </c>
      <c r="D56" s="148">
        <f t="shared" si="1"/>
        <v>19813.180318706891</v>
      </c>
      <c r="E56" s="159">
        <f>IF(B56&lt;=$F$15,(E$17*(VLOOKUP($H$2,Лист2!$A:$N,12,0)-(B56-1)*VLOOKUP($H$2,Лист2!$A:$N,13,0))),0)</f>
        <v>0</v>
      </c>
      <c r="F56" s="149">
        <f t="shared" si="2"/>
        <v>12038.893035745061</v>
      </c>
      <c r="G56" s="165">
        <f t="shared" si="3"/>
        <v>31852.073354451953</v>
      </c>
      <c r="H56" s="165"/>
      <c r="I56" s="3"/>
    </row>
    <row r="57" spans="1:11" x14ac:dyDescent="0.25">
      <c r="A57" s="59"/>
      <c r="B57" s="119">
        <v>29</v>
      </c>
      <c r="C57" s="157">
        <f t="shared" ca="1" si="0"/>
        <v>46231</v>
      </c>
      <c r="D57" s="148">
        <f t="shared" si="1"/>
        <v>20886.394252636845</v>
      </c>
      <c r="E57" s="159">
        <f>IF(B57&lt;=$F$15,(E$17*(VLOOKUP($H$2,Лист2!$A:$N,12,0)-(B57-1)*VLOOKUP($H$2,Лист2!$A:$N,13,0))),0)</f>
        <v>0</v>
      </c>
      <c r="F57" s="149">
        <f t="shared" si="2"/>
        <v>10965.679101815105</v>
      </c>
      <c r="G57" s="165">
        <f t="shared" si="3"/>
        <v>31852.07335445195</v>
      </c>
      <c r="H57" s="165"/>
      <c r="I57" s="3"/>
    </row>
    <row r="58" spans="1:11" x14ac:dyDescent="0.25">
      <c r="A58" s="59">
        <v>25</v>
      </c>
      <c r="B58" s="119">
        <v>30</v>
      </c>
      <c r="C58" s="157">
        <f t="shared" ca="1" si="0"/>
        <v>46262</v>
      </c>
      <c r="D58" s="148">
        <f t="shared" si="1"/>
        <v>22017.740607988006</v>
      </c>
      <c r="E58" s="159">
        <f>IF(B58&lt;=$F$15,(E$17*(VLOOKUP($H$2,Лист2!$A:$N,12,0)-(B58-1)*VLOOKUP($H$2,Лист2!$A:$N,13,0))),0)</f>
        <v>0</v>
      </c>
      <c r="F58" s="149">
        <f t="shared" si="2"/>
        <v>9834.3327464639442</v>
      </c>
      <c r="G58" s="165">
        <f t="shared" si="3"/>
        <v>31852.07335445195</v>
      </c>
      <c r="H58" s="165"/>
      <c r="I58" s="124"/>
      <c r="J58" s="124"/>
    </row>
    <row r="59" spans="1:11" x14ac:dyDescent="0.25">
      <c r="A59" s="59"/>
      <c r="B59" s="119">
        <v>31</v>
      </c>
      <c r="C59" s="157">
        <f t="shared" ca="1" si="0"/>
        <v>46293</v>
      </c>
      <c r="D59" s="148">
        <f t="shared" si="1"/>
        <v>23210.368224254024</v>
      </c>
      <c r="E59" s="159">
        <f>IF(B59&lt;=$F$15,(E$17*(VLOOKUP($H$2,Лист2!$A:$N,12,0)-(B59-1)*VLOOKUP($H$2,Лист2!$A:$N,13,0))),0)</f>
        <v>0</v>
      </c>
      <c r="F59" s="149">
        <f t="shared" si="2"/>
        <v>8641.7051301979263</v>
      </c>
      <c r="G59" s="165">
        <f t="shared" si="3"/>
        <v>31852.07335445195</v>
      </c>
      <c r="H59" s="165"/>
      <c r="I59" s="124"/>
      <c r="J59" s="124"/>
    </row>
    <row r="60" spans="1:11" x14ac:dyDescent="0.25">
      <c r="A60" s="59"/>
      <c r="B60" s="119">
        <v>32</v>
      </c>
      <c r="C60" s="157">
        <f t="shared" ca="1" si="0"/>
        <v>46323</v>
      </c>
      <c r="D60" s="148">
        <f t="shared" si="1"/>
        <v>24467.596503067783</v>
      </c>
      <c r="E60" s="159">
        <f>IF(B60&lt;=$F$15,(E$17*(VLOOKUP($H$2,Лист2!$A:$N,12,0)-(B60-1)*VLOOKUP($H$2,Лист2!$A:$N,13,0))),0)</f>
        <v>0</v>
      </c>
      <c r="F60" s="149">
        <f t="shared" si="2"/>
        <v>7384.4768513841655</v>
      </c>
      <c r="G60" s="165">
        <f t="shared" si="3"/>
        <v>31852.07335445195</v>
      </c>
      <c r="H60" s="165"/>
      <c r="I60" s="124"/>
      <c r="J60" s="124"/>
    </row>
    <row r="61" spans="1:11" x14ac:dyDescent="0.25">
      <c r="A61" s="59"/>
      <c r="B61" s="119">
        <v>33</v>
      </c>
      <c r="C61" s="157">
        <f t="shared" ca="1" si="0"/>
        <v>46354</v>
      </c>
      <c r="D61" s="148">
        <f t="shared" si="1"/>
        <v>25792.924646983956</v>
      </c>
      <c r="E61" s="159">
        <f>IF(B61&lt;=$F$15,(E$17*(VLOOKUP($H$2,Лист2!$A:$N,12,0)-(B61-1)*VLOOKUP($H$2,Лист2!$A:$N,13,0))),0)</f>
        <v>0</v>
      </c>
      <c r="F61" s="149">
        <f t="shared" si="2"/>
        <v>6059.1487074679953</v>
      </c>
      <c r="G61" s="165">
        <f t="shared" si="3"/>
        <v>31852.073354451953</v>
      </c>
      <c r="H61" s="165"/>
      <c r="I61" s="124"/>
      <c r="J61" s="124"/>
    </row>
    <row r="62" spans="1:11" x14ac:dyDescent="0.25">
      <c r="A62" s="59"/>
      <c r="B62" s="119">
        <v>34</v>
      </c>
      <c r="C62" s="157">
        <f t="shared" ca="1" si="0"/>
        <v>46384</v>
      </c>
      <c r="D62" s="148">
        <f t="shared" si="1"/>
        <v>27190.041398695586</v>
      </c>
      <c r="E62" s="159">
        <f>IF(B62&lt;=$F$15,(E$17*(VLOOKUP($H$2,Лист2!$A:$N,12,0)-(B62-1)*VLOOKUP($H$2,Лист2!$A:$N,13,0))),0)</f>
        <v>0</v>
      </c>
      <c r="F62" s="149">
        <f t="shared" si="2"/>
        <v>4662.0319557563644</v>
      </c>
      <c r="G62" s="165">
        <f t="shared" si="3"/>
        <v>31852.07335445195</v>
      </c>
      <c r="H62" s="165"/>
      <c r="I62" s="124"/>
      <c r="J62" s="124"/>
    </row>
    <row r="63" spans="1:11" x14ac:dyDescent="0.25">
      <c r="A63" s="59"/>
      <c r="B63" s="119">
        <v>35</v>
      </c>
      <c r="C63" s="157">
        <f t="shared" ca="1" si="0"/>
        <v>46415</v>
      </c>
      <c r="D63" s="148">
        <f t="shared" si="1"/>
        <v>28662.835307791596</v>
      </c>
      <c r="E63" s="159">
        <f>IF(B63&lt;=$F$15,(E$17*(VLOOKUP($H$2,Лист2!$A:$N,12,0)-(B63-1)*VLOOKUP($H$2,Лист2!$A:$N,13,0))),0)</f>
        <v>0</v>
      </c>
      <c r="F63" s="149">
        <f t="shared" si="2"/>
        <v>3189.2380466603531</v>
      </c>
      <c r="G63" s="165">
        <f t="shared" si="3"/>
        <v>31852.07335445195</v>
      </c>
      <c r="H63" s="165"/>
      <c r="I63" s="124"/>
      <c r="J63" s="124"/>
    </row>
    <row r="64" spans="1:11" x14ac:dyDescent="0.25">
      <c r="A64" s="59"/>
      <c r="B64" s="119">
        <v>36</v>
      </c>
      <c r="C64" s="157">
        <f t="shared" ca="1" si="0"/>
        <v>46446</v>
      </c>
      <c r="D64" s="148">
        <f t="shared" si="1"/>
        <v>30215.405553630309</v>
      </c>
      <c r="E64" s="159">
        <f>IF(B64&lt;=$F$15,(E$17*(VLOOKUP($H$2,Лист2!$A:$N,12,0)-(B64-1)*VLOOKUP($H$2,Лист2!$A:$N,13,0))),0)</f>
        <v>0</v>
      </c>
      <c r="F64" s="149">
        <f t="shared" si="2"/>
        <v>1636.6678008216415</v>
      </c>
      <c r="G64" s="165">
        <f t="shared" si="3"/>
        <v>31852.07335445195</v>
      </c>
      <c r="H64" s="165"/>
      <c r="I64" s="124"/>
      <c r="J64" s="124"/>
    </row>
    <row r="65" spans="1:10" x14ac:dyDescent="0.25">
      <c r="A65" s="59"/>
      <c r="B65" s="119">
        <v>37</v>
      </c>
      <c r="C65" s="122">
        <f t="shared" ca="1" si="0"/>
        <v>46474</v>
      </c>
      <c r="D65" s="148">
        <f t="shared" si="1"/>
        <v>0</v>
      </c>
      <c r="E65" s="149">
        <f>IF(B65&lt;=$F$15,(E$17*(VLOOKUP($H$2,Лист2!$A:$N,12,0)-(B65-1)*VLOOKUP($H$2,Лист2!$A:$N,13,0))),0)</f>
        <v>0</v>
      </c>
      <c r="F65" s="149">
        <f t="shared" si="2"/>
        <v>0</v>
      </c>
      <c r="G65" s="165">
        <f t="shared" si="3"/>
        <v>0</v>
      </c>
      <c r="H65" s="165"/>
      <c r="I65" s="124"/>
      <c r="J65" s="124"/>
    </row>
    <row r="66" spans="1:10" x14ac:dyDescent="0.25">
      <c r="A66" s="59"/>
      <c r="B66" s="119">
        <v>38</v>
      </c>
      <c r="C66" s="122">
        <f t="shared" ca="1" si="0"/>
        <v>46505</v>
      </c>
      <c r="D66" s="148">
        <f t="shared" si="1"/>
        <v>0</v>
      </c>
      <c r="E66" s="149">
        <f>IF(B66&lt;=$F$15,(E$17*(VLOOKUP($H$2,Лист2!$A:$N,12,0)-(B66-1)*VLOOKUP($H$2,Лист2!$A:$N,13,0))),0)</f>
        <v>0</v>
      </c>
      <c r="F66" s="149">
        <f t="shared" si="2"/>
        <v>0</v>
      </c>
      <c r="G66" s="165">
        <f t="shared" si="3"/>
        <v>0</v>
      </c>
      <c r="H66" s="165"/>
      <c r="I66" s="124"/>
      <c r="J66" s="124"/>
    </row>
    <row r="67" spans="1:10" x14ac:dyDescent="0.25">
      <c r="A67" s="59"/>
      <c r="B67" s="119">
        <v>39</v>
      </c>
      <c r="C67" s="122">
        <f t="shared" ca="1" si="0"/>
        <v>46535</v>
      </c>
      <c r="D67" s="148">
        <f t="shared" si="1"/>
        <v>0</v>
      </c>
      <c r="E67" s="149">
        <f>IF(B67&lt;=$F$15,(E$17*(VLOOKUP($H$2,Лист2!$A:$N,12,0)-(B67-1)*VLOOKUP($H$2,Лист2!$A:$N,13,0))),0)</f>
        <v>0</v>
      </c>
      <c r="F67" s="149">
        <f t="shared" si="2"/>
        <v>0</v>
      </c>
      <c r="G67" s="165">
        <f t="shared" si="3"/>
        <v>0</v>
      </c>
      <c r="H67" s="165"/>
      <c r="I67" s="124"/>
      <c r="J67" s="124"/>
    </row>
    <row r="68" spans="1:10" x14ac:dyDescent="0.25">
      <c r="A68" s="59"/>
      <c r="B68" s="119">
        <v>40</v>
      </c>
      <c r="C68" s="122">
        <f t="shared" ca="1" si="0"/>
        <v>46566</v>
      </c>
      <c r="D68" s="148">
        <f t="shared" si="1"/>
        <v>0</v>
      </c>
      <c r="E68" s="149">
        <f>IF(B68&lt;=$F$15,(E$17*(VLOOKUP($H$2,Лист2!$A:$N,12,0)-(B68-1)*VLOOKUP($H$2,Лист2!$A:$N,13,0))),0)</f>
        <v>0</v>
      </c>
      <c r="F68" s="149">
        <f t="shared" si="2"/>
        <v>0</v>
      </c>
      <c r="G68" s="165">
        <f t="shared" si="3"/>
        <v>0</v>
      </c>
      <c r="H68" s="165"/>
      <c r="I68" s="124"/>
      <c r="J68" s="124"/>
    </row>
    <row r="69" spans="1:10" x14ac:dyDescent="0.25">
      <c r="A69" s="59"/>
      <c r="B69" s="119">
        <v>41</v>
      </c>
      <c r="C69" s="122">
        <f t="shared" ca="1" si="0"/>
        <v>46596</v>
      </c>
      <c r="D69" s="148">
        <f t="shared" si="1"/>
        <v>0</v>
      </c>
      <c r="E69" s="149">
        <f>IF(B69&lt;=$F$15,(E$17*(VLOOKUP($H$2,Лист2!$A:$N,12,0)-(B69-1)*VLOOKUP($H$2,Лист2!$A:$N,13,0))),0)</f>
        <v>0</v>
      </c>
      <c r="F69" s="149">
        <f t="shared" si="2"/>
        <v>0</v>
      </c>
      <c r="G69" s="165">
        <f t="shared" si="3"/>
        <v>0</v>
      </c>
      <c r="H69" s="165"/>
      <c r="I69" s="124"/>
      <c r="J69" s="124"/>
    </row>
    <row r="70" spans="1:10" x14ac:dyDescent="0.25">
      <c r="A70" s="59"/>
      <c r="B70" s="119">
        <v>42</v>
      </c>
      <c r="C70" s="122">
        <f t="shared" ca="1" si="0"/>
        <v>46627</v>
      </c>
      <c r="D70" s="148">
        <f t="shared" si="1"/>
        <v>0</v>
      </c>
      <c r="E70" s="149">
        <f>IF(B70&lt;=$F$15,(E$17*(VLOOKUP($H$2,Лист2!$A:$N,12,0)-(B70-1)*VLOOKUP($H$2,Лист2!$A:$N,13,0))),0)</f>
        <v>0</v>
      </c>
      <c r="F70" s="149">
        <f t="shared" si="2"/>
        <v>0</v>
      </c>
      <c r="G70" s="165">
        <f t="shared" si="3"/>
        <v>0</v>
      </c>
      <c r="H70" s="165"/>
      <c r="I70" s="124"/>
      <c r="J70" s="124"/>
    </row>
    <row r="71" spans="1:10" x14ac:dyDescent="0.25">
      <c r="A71" s="59"/>
      <c r="B71" s="119">
        <v>43</v>
      </c>
      <c r="C71" s="122">
        <f t="shared" ca="1" si="0"/>
        <v>46658</v>
      </c>
      <c r="D71" s="148">
        <f t="shared" si="1"/>
        <v>0</v>
      </c>
      <c r="E71" s="149">
        <f>IF(B71&lt;=$F$15,(E$17*(VLOOKUP($H$2,Лист2!$A:$N,12,0)-(B71-1)*VLOOKUP($H$2,Лист2!$A:$N,13,0))),0)</f>
        <v>0</v>
      </c>
      <c r="F71" s="149">
        <f t="shared" si="2"/>
        <v>0</v>
      </c>
      <c r="G71" s="165">
        <f t="shared" si="3"/>
        <v>0</v>
      </c>
      <c r="H71" s="165"/>
      <c r="I71" s="124"/>
      <c r="J71" s="124"/>
    </row>
    <row r="72" spans="1:10" x14ac:dyDescent="0.25">
      <c r="A72" s="59"/>
      <c r="B72" s="119">
        <v>44</v>
      </c>
      <c r="C72" s="122">
        <f t="shared" ca="1" si="0"/>
        <v>46688</v>
      </c>
      <c r="D72" s="148">
        <f t="shared" si="1"/>
        <v>0</v>
      </c>
      <c r="E72" s="149">
        <f>IF(B72&lt;=$F$15,(E$17*(VLOOKUP($H$2,Лист2!$A:$N,12,0)-(B72-1)*VLOOKUP($H$2,Лист2!$A:$N,13,0))),0)</f>
        <v>0</v>
      </c>
      <c r="F72" s="149">
        <f t="shared" si="2"/>
        <v>0</v>
      </c>
      <c r="G72" s="165">
        <f t="shared" si="3"/>
        <v>0</v>
      </c>
      <c r="H72" s="165"/>
      <c r="I72" s="124"/>
      <c r="J72" s="124"/>
    </row>
    <row r="73" spans="1:10" x14ac:dyDescent="0.25">
      <c r="A73" s="59"/>
      <c r="B73" s="119">
        <v>45</v>
      </c>
      <c r="C73" s="122">
        <f t="shared" ca="1" si="0"/>
        <v>46719</v>
      </c>
      <c r="D73" s="148">
        <f t="shared" si="1"/>
        <v>0</v>
      </c>
      <c r="E73" s="149">
        <f>IF(B73&lt;=$F$15,(E$17*(VLOOKUP($H$2,Лист2!$A:$N,12,0)-(B73-1)*VLOOKUP($H$2,Лист2!$A:$N,13,0))),0)</f>
        <v>0</v>
      </c>
      <c r="F73" s="149">
        <f t="shared" si="2"/>
        <v>0</v>
      </c>
      <c r="G73" s="165">
        <f t="shared" si="3"/>
        <v>0</v>
      </c>
      <c r="H73" s="165"/>
      <c r="I73" s="124"/>
      <c r="J73" s="124"/>
    </row>
    <row r="74" spans="1:10" x14ac:dyDescent="0.25">
      <c r="A74" s="59"/>
      <c r="B74" s="119">
        <v>46</v>
      </c>
      <c r="C74" s="122">
        <f t="shared" ca="1" si="0"/>
        <v>46749</v>
      </c>
      <c r="D74" s="148">
        <f t="shared" si="1"/>
        <v>0</v>
      </c>
      <c r="E74" s="149">
        <f>IF(B74&lt;=$F$15,(E$17*(VLOOKUP($H$2,Лист2!$A:$N,12,0)-(B74-1)*VLOOKUP($H$2,Лист2!$A:$N,13,0))),0)</f>
        <v>0</v>
      </c>
      <c r="F74" s="149">
        <f t="shared" si="2"/>
        <v>0</v>
      </c>
      <c r="G74" s="165">
        <f t="shared" si="3"/>
        <v>0</v>
      </c>
      <c r="H74" s="165"/>
      <c r="I74" s="124"/>
      <c r="J74" s="124"/>
    </row>
    <row r="75" spans="1:10" x14ac:dyDescent="0.25">
      <c r="A75" s="59"/>
      <c r="B75" s="119">
        <v>47</v>
      </c>
      <c r="C75" s="122">
        <f t="shared" ca="1" si="0"/>
        <v>46780</v>
      </c>
      <c r="D75" s="148">
        <f t="shared" si="1"/>
        <v>0</v>
      </c>
      <c r="E75" s="149">
        <f>IF(B75&lt;=$F$15,(E$17*(VLOOKUP($H$2,Лист2!$A:$N,12,0)-(B75-1)*VLOOKUP($H$2,Лист2!$A:$N,13,0))),0)</f>
        <v>0</v>
      </c>
      <c r="F75" s="149">
        <f t="shared" si="2"/>
        <v>0</v>
      </c>
      <c r="G75" s="165">
        <f t="shared" si="3"/>
        <v>0</v>
      </c>
      <c r="H75" s="165"/>
      <c r="I75" s="124"/>
      <c r="J75" s="124"/>
    </row>
    <row r="76" spans="1:10" x14ac:dyDescent="0.25">
      <c r="A76" s="59"/>
      <c r="B76" s="119">
        <v>48</v>
      </c>
      <c r="C76" s="122">
        <f t="shared" ca="1" si="0"/>
        <v>46811</v>
      </c>
      <c r="D76" s="148">
        <f t="shared" si="1"/>
        <v>0</v>
      </c>
      <c r="E76" s="149">
        <f>IF(B76&lt;=$F$15,(E$17*(VLOOKUP($H$2,Лист2!$A:$N,12,0)-(B76-1)*VLOOKUP($H$2,Лист2!$A:$N,13,0))),0)</f>
        <v>0</v>
      </c>
      <c r="F76" s="149">
        <f t="shared" si="2"/>
        <v>0</v>
      </c>
      <c r="G76" s="165">
        <f t="shared" si="3"/>
        <v>0</v>
      </c>
      <c r="H76" s="165"/>
      <c r="I76" s="124"/>
      <c r="J76" s="124"/>
    </row>
    <row r="77" spans="1:10" x14ac:dyDescent="0.25">
      <c r="A77" s="59"/>
      <c r="B77" s="119">
        <v>49</v>
      </c>
      <c r="C77" s="122">
        <f t="shared" ca="1" si="0"/>
        <v>46840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65">
        <f t="shared" si="3"/>
        <v>0</v>
      </c>
      <c r="H77" s="165"/>
      <c r="I77" s="124"/>
      <c r="J77" s="124"/>
    </row>
    <row r="78" spans="1:10" x14ac:dyDescent="0.25">
      <c r="A78" s="59"/>
      <c r="B78" s="119">
        <v>50</v>
      </c>
      <c r="C78" s="122">
        <f t="shared" ca="1" si="0"/>
        <v>46871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65">
        <f t="shared" si="3"/>
        <v>0</v>
      </c>
      <c r="H78" s="165"/>
      <c r="I78" s="124"/>
      <c r="J78" s="124"/>
    </row>
    <row r="79" spans="1:10" x14ac:dyDescent="0.25">
      <c r="A79" s="59"/>
      <c r="B79" s="119">
        <v>51</v>
      </c>
      <c r="C79" s="122">
        <f t="shared" ca="1" si="0"/>
        <v>46901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65">
        <f t="shared" si="3"/>
        <v>0</v>
      </c>
      <c r="H79" s="165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46932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65">
        <f t="shared" si="3"/>
        <v>0</v>
      </c>
      <c r="H80" s="165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46962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65">
        <f t="shared" si="3"/>
        <v>0</v>
      </c>
      <c r="H81" s="165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46993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65">
        <f t="shared" si="3"/>
        <v>0</v>
      </c>
      <c r="H82" s="165"/>
      <c r="I82" s="124"/>
      <c r="J82" s="124"/>
    </row>
    <row r="83" spans="1:10" x14ac:dyDescent="0.25">
      <c r="A83" s="59"/>
      <c r="B83" s="119">
        <v>55</v>
      </c>
      <c r="C83" s="122">
        <f t="shared" ca="1" si="0"/>
        <v>47024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65">
        <f t="shared" si="3"/>
        <v>0</v>
      </c>
      <c r="H83" s="165"/>
      <c r="I83" s="124"/>
      <c r="J83" s="124"/>
    </row>
    <row r="84" spans="1:10" x14ac:dyDescent="0.25">
      <c r="A84" s="59"/>
      <c r="B84" s="119">
        <v>56</v>
      </c>
      <c r="C84" s="122">
        <f t="shared" ca="1" si="0"/>
        <v>47054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65">
        <f t="shared" si="3"/>
        <v>0</v>
      </c>
      <c r="H84" s="165"/>
      <c r="I84" s="124"/>
      <c r="J84" s="124"/>
    </row>
    <row r="85" spans="1:10" x14ac:dyDescent="0.25">
      <c r="A85" s="59"/>
      <c r="B85" s="119">
        <v>57</v>
      </c>
      <c r="C85" s="122">
        <f t="shared" ca="1" si="0"/>
        <v>47085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65">
        <f t="shared" si="3"/>
        <v>0</v>
      </c>
      <c r="H85" s="165"/>
      <c r="I85" s="124"/>
      <c r="J85" s="124"/>
    </row>
    <row r="86" spans="1:10" x14ac:dyDescent="0.25">
      <c r="A86" s="59"/>
      <c r="B86" s="119">
        <v>58</v>
      </c>
      <c r="C86" s="122">
        <f t="shared" ca="1" si="0"/>
        <v>47115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65">
        <f t="shared" si="3"/>
        <v>0</v>
      </c>
      <c r="H86" s="165"/>
      <c r="I86" s="124"/>
      <c r="J86" s="124"/>
    </row>
    <row r="87" spans="1:10" x14ac:dyDescent="0.25">
      <c r="A87" s="59"/>
      <c r="B87" s="119">
        <v>59</v>
      </c>
      <c r="C87" s="122">
        <f t="shared" ca="1" si="0"/>
        <v>47146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65">
        <f t="shared" si="3"/>
        <v>0</v>
      </c>
      <c r="H87" s="165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47177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66">
        <f t="shared" si="3"/>
        <v>0</v>
      </c>
      <c r="H88" s="166"/>
      <c r="I88" s="124"/>
      <c r="J88" s="124"/>
    </row>
    <row r="89" spans="1:10" ht="16.2" thickBot="1" x14ac:dyDescent="0.3">
      <c r="A89" s="59"/>
      <c r="B89" s="160" t="s">
        <v>1</v>
      </c>
      <c r="C89" s="161"/>
      <c r="D89" s="152">
        <f>SUM(D29:D88)</f>
        <v>500000.00000000006</v>
      </c>
      <c r="E89" s="152">
        <f>SUM(E29:E88)</f>
        <v>0</v>
      </c>
      <c r="F89" s="152">
        <f>SUM(F29:F88)</f>
        <v>646674.64076027018</v>
      </c>
      <c r="G89" s="162">
        <f>SUM(G29:H88)</f>
        <v>1146674.6407602697</v>
      </c>
      <c r="H89" s="163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64" t="s">
        <v>3</v>
      </c>
      <c r="F91" s="164"/>
      <c r="G91" s="164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>
      <formula1>$K$16:$K$18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A13" sqref="A13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46</v>
      </c>
      <c r="B4" s="135">
        <v>500000</v>
      </c>
      <c r="C4" s="135">
        <v>60</v>
      </c>
      <c r="D4" s="136">
        <v>0.65</v>
      </c>
      <c r="E4" s="136">
        <v>0</v>
      </c>
      <c r="F4" s="136">
        <v>0</v>
      </c>
      <c r="G4" s="135" t="str">
        <f t="shared" ref="G4" si="0">I$2&amp;" "&amp;B4&amp;" "&amp;H$2</f>
        <v>max. 500000 грн.</v>
      </c>
      <c r="H4" s="135">
        <f t="shared" ref="H4" si="1">B4+B4*E4</f>
        <v>500000</v>
      </c>
      <c r="I4" s="135"/>
      <c r="J4" s="135">
        <v>4</v>
      </c>
      <c r="K4" s="137">
        <f t="shared" ref="K4" si="2">D4/12/(1-1/POWER(1+D4/12,C4))*H4+H4*F4</f>
        <v>28276.98134076166</v>
      </c>
      <c r="L4" s="138">
        <v>0</v>
      </c>
      <c r="M4" s="139">
        <v>0</v>
      </c>
      <c r="N4" s="135">
        <v>300001</v>
      </c>
    </row>
    <row r="5" spans="1:14" x14ac:dyDescent="0.25">
      <c r="A5" s="135" t="s">
        <v>47</v>
      </c>
      <c r="B5" s="135">
        <v>500000</v>
      </c>
      <c r="C5" s="135">
        <v>48</v>
      </c>
      <c r="D5" s="136">
        <v>0.65</v>
      </c>
      <c r="E5" s="136">
        <v>0</v>
      </c>
      <c r="F5" s="136">
        <v>0</v>
      </c>
      <c r="G5" s="135" t="str">
        <f t="shared" ref="G5" si="3">I$2&amp;" "&amp;B5&amp;" "&amp;H$2</f>
        <v>max. 500000 грн.</v>
      </c>
      <c r="H5" s="135">
        <f t="shared" ref="H5" si="4">B5+B5*E5</f>
        <v>500000</v>
      </c>
      <c r="I5" s="135"/>
      <c r="J5" s="135">
        <v>4</v>
      </c>
      <c r="K5" s="137">
        <f t="shared" ref="K5" si="5">D5/12/(1-1/POWER(1+D5/12,C5))*H5+H5*F5</f>
        <v>29422.341965258242</v>
      </c>
      <c r="L5" s="138">
        <v>0</v>
      </c>
      <c r="M5" s="139">
        <v>0</v>
      </c>
      <c r="N5" s="135">
        <v>300001</v>
      </c>
    </row>
    <row r="6" spans="1:14" x14ac:dyDescent="0.25">
      <c r="A6" s="135" t="s">
        <v>48</v>
      </c>
      <c r="B6" s="135">
        <v>500000</v>
      </c>
      <c r="C6" s="135">
        <v>36</v>
      </c>
      <c r="D6" s="136">
        <v>0.65</v>
      </c>
      <c r="E6" s="136">
        <v>0</v>
      </c>
      <c r="F6" s="136">
        <v>0</v>
      </c>
      <c r="G6" s="135" t="str">
        <f t="shared" ref="G6:G7" si="6">I$2&amp;" "&amp;B6&amp;" "&amp;H$2</f>
        <v>max. 500000 грн.</v>
      </c>
      <c r="H6" s="135">
        <f t="shared" ref="H6:H7" si="7">B6+B6*E6</f>
        <v>500000</v>
      </c>
      <c r="I6" s="135"/>
      <c r="J6" s="135">
        <v>5</v>
      </c>
      <c r="K6" s="137">
        <f t="shared" ref="K6:K7" si="8">D6/12/(1-1/POWER(1+D6/12,C6))*H6+H6*F6</f>
        <v>31852.073354451943</v>
      </c>
      <c r="L6" s="138">
        <v>0</v>
      </c>
      <c r="M6" s="139">
        <v>0</v>
      </c>
      <c r="N6" s="135">
        <v>300001</v>
      </c>
    </row>
    <row r="7" spans="1:14" x14ac:dyDescent="0.25">
      <c r="A7" s="135" t="s">
        <v>49</v>
      </c>
      <c r="B7" s="135">
        <v>500000</v>
      </c>
      <c r="C7" s="135">
        <v>24</v>
      </c>
      <c r="D7" s="136">
        <v>0.65</v>
      </c>
      <c r="E7" s="136">
        <v>0</v>
      </c>
      <c r="F7" s="136">
        <v>0</v>
      </c>
      <c r="G7" s="135" t="str">
        <f t="shared" si="6"/>
        <v>max. 500000 грн.</v>
      </c>
      <c r="H7" s="135">
        <f t="shared" si="7"/>
        <v>500000</v>
      </c>
      <c r="I7" s="135"/>
      <c r="J7" s="135">
        <v>6</v>
      </c>
      <c r="K7" s="137">
        <f t="shared" si="8"/>
        <v>37718.070494337859</v>
      </c>
      <c r="L7" s="138">
        <v>0</v>
      </c>
      <c r="M7" s="139">
        <v>0</v>
      </c>
      <c r="N7" s="135">
        <v>300001</v>
      </c>
    </row>
    <row r="8" spans="1:14" x14ac:dyDescent="0.25">
      <c r="A8" s="135" t="s">
        <v>50</v>
      </c>
      <c r="B8" s="135">
        <v>500000</v>
      </c>
      <c r="C8" s="135">
        <v>12</v>
      </c>
      <c r="D8" s="136">
        <v>0.65</v>
      </c>
      <c r="E8" s="136">
        <v>0</v>
      </c>
      <c r="F8" s="136">
        <v>0</v>
      </c>
      <c r="G8" s="135" t="str">
        <f t="shared" ref="G8" si="9">I$2&amp;" "&amp;B8&amp;" "&amp;H$2</f>
        <v>max. 500000 грн.</v>
      </c>
      <c r="H8" s="135">
        <f t="shared" ref="H8" si="10">B8+B8*E8</f>
        <v>500000</v>
      </c>
      <c r="I8" s="135"/>
      <c r="J8" s="135">
        <v>7</v>
      </c>
      <c r="K8" s="137">
        <f t="shared" ref="K8" si="11">D8/12/(1-1/POWER(1+D8/12,C8))*H8+H8*F8</f>
        <v>57746.095008191529</v>
      </c>
      <c r="L8" s="138">
        <v>0</v>
      </c>
      <c r="M8" s="139">
        <v>0</v>
      </c>
      <c r="N8" s="135">
        <v>300001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199" t="s">
        <v>13</v>
      </c>
      <c r="B1" s="200"/>
      <c r="C1" s="200"/>
      <c r="D1" s="20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194" t="s">
        <v>30</v>
      </c>
      <c r="B3" s="195"/>
      <c r="C3" s="195"/>
      <c r="D3" s="19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194" t="s">
        <v>29</v>
      </c>
      <c r="B5" s="195"/>
      <c r="C5" s="195"/>
      <c r="D5" s="19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194" t="s">
        <v>31</v>
      </c>
      <c r="B7" s="195"/>
      <c r="C7" s="195"/>
      <c r="D7" s="19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194" t="s">
        <v>44</v>
      </c>
      <c r="B9" s="195"/>
      <c r="C9" s="195"/>
      <c r="D9" s="19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194" t="s">
        <v>43</v>
      </c>
      <c r="B12" s="195"/>
      <c r="C12" s="195"/>
      <c r="D12" s="19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194" t="s">
        <v>38</v>
      </c>
      <c r="B14" s="195"/>
      <c r="C14" s="195"/>
      <c r="D14" s="19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194" t="s">
        <v>42</v>
      </c>
      <c r="B16" s="195"/>
      <c r="C16" s="195"/>
      <c r="D16" s="19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197" t="s">
        <v>5</v>
      </c>
      <c r="B20" s="19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202" t="s">
        <v>16</v>
      </c>
      <c r="B21" s="203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202" t="s">
        <v>6</v>
      </c>
      <c r="B22" s="203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202" t="s">
        <v>14</v>
      </c>
      <c r="B23" s="203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202" t="s">
        <v>15</v>
      </c>
      <c r="B24" s="203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05" t="s">
        <v>36</v>
      </c>
      <c r="B27" s="206"/>
      <c r="C27" s="206"/>
      <c r="D27" s="206"/>
      <c r="E27" s="206"/>
      <c r="F27" s="206"/>
      <c r="G27" s="207"/>
      <c r="H27" s="72"/>
    </row>
    <row r="28" spans="1:8" ht="31.2" thickBot="1" x14ac:dyDescent="0.3">
      <c r="A28" s="208" t="s">
        <v>2</v>
      </c>
      <c r="B28" s="209"/>
      <c r="C28" s="100" t="s">
        <v>34</v>
      </c>
      <c r="D28" s="100" t="s">
        <v>32</v>
      </c>
      <c r="E28" s="100" t="s">
        <v>33</v>
      </c>
      <c r="F28" s="210" t="s">
        <v>35</v>
      </c>
      <c r="G28" s="211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04"/>
      <c r="E30" s="204"/>
      <c r="F30" s="204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21:B21"/>
    <mergeCell ref="A22:B22"/>
    <mergeCell ref="D30:F30"/>
    <mergeCell ref="A24:B24"/>
    <mergeCell ref="A27:G27"/>
    <mergeCell ref="A28:B28"/>
    <mergeCell ref="F28:G28"/>
    <mergeCell ref="A23:B23"/>
    <mergeCell ref="A12:D12"/>
    <mergeCell ref="A14:D14"/>
    <mergeCell ref="A16:D16"/>
    <mergeCell ref="A20:B20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Big Cash</vt:lpstr>
      <vt:lpstr>Лист2</vt:lpstr>
      <vt:lpstr>Назви</vt:lpstr>
      <vt:lpstr>'Big Cash'!Область_печати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2020-02-12T09:25:28Z</cp:lastPrinted>
  <dcterms:created xsi:type="dcterms:W3CDTF">2008-03-13T06:51:50Z</dcterms:created>
  <dcterms:modified xsi:type="dcterms:W3CDTF">2024-02-28T11:11:15Z</dcterms:modified>
</cp:coreProperties>
</file>