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0BF92705-237D-40D2-89D5-E277F9C506AB}" xr6:coauthVersionLast="47" xr6:coauthVersionMax="47" xr10:uidLastSave="{00000000-0000-0000-0000-000000000000}"/>
  <workbookProtection workbookAlgorithmName="SHA-512" workbookHashValue="mCsT2FjQlmNSMth4p0gjrcCI807MsYbJMoIICJQp9xU5xSfYb2372F3x8XquD26foT0cgo6jnTplS9pkIi22Gg==" workbookSaltValue="0IXGGq/tz5tJMVexaGNA/w==" workbookSpinCount="100000" lockStructure="1"/>
  <bookViews>
    <workbookView xWindow="-240" yWindow="0" windowWidth="29040" windowHeight="15990" tabRatio="863" xr2:uid="{00000000-000D-0000-FFFF-FFFF00000000}"/>
  </bookViews>
  <sheets>
    <sheet name="NST Ідея_ТзОВ Скайфол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Ідея_ТзОВ Скайфол'!$A$1:$I$103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2" i="164"/>
  <c r="L11" i="164"/>
  <c r="M9" i="165"/>
  <c r="L9" i="165"/>
  <c r="H9" i="165"/>
  <c r="G9" i="165"/>
  <c r="M8" i="165"/>
  <c r="H8" i="165"/>
  <c r="L8" i="165" s="1"/>
  <c r="G8" i="165"/>
  <c r="L10" i="164" l="1"/>
  <c r="M7" i="165"/>
  <c r="H7" i="165"/>
  <c r="L7" i="165" s="1"/>
  <c r="G7" i="165"/>
  <c r="H5" i="165" l="1"/>
  <c r="F2" i="164" s="1"/>
  <c r="H6" i="165"/>
  <c r="H4" i="165"/>
  <c r="E2" i="164"/>
  <c r="G2" i="164"/>
  <c r="G3" i="164"/>
  <c r="H3" i="164" l="1"/>
  <c r="G39" i="164"/>
  <c r="L8" i="164" l="1"/>
  <c r="L9" i="164"/>
  <c r="M6" i="165"/>
  <c r="L6" i="165"/>
  <c r="G6" i="165"/>
  <c r="M5" i="165"/>
  <c r="L5" i="165"/>
  <c r="G5" i="165"/>
  <c r="G4" i="165" l="1"/>
  <c r="L17" i="164" l="1"/>
  <c r="L13" i="164" l="1"/>
  <c r="L14" i="164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77" i="164" l="1"/>
  <c r="F81" i="164"/>
  <c r="F85" i="164"/>
  <c r="F89" i="164"/>
  <c r="F93" i="164"/>
  <c r="F97" i="164"/>
  <c r="F78" i="164"/>
  <c r="F82" i="164"/>
  <c r="F86" i="164"/>
  <c r="F90" i="164"/>
  <c r="F94" i="164"/>
  <c r="F98" i="164"/>
  <c r="F76" i="164"/>
  <c r="F80" i="164"/>
  <c r="F84" i="164"/>
  <c r="F88" i="164"/>
  <c r="F92" i="164"/>
  <c r="F96" i="164"/>
  <c r="F79" i="164"/>
  <c r="F83" i="164"/>
  <c r="F87" i="164"/>
  <c r="F91" i="164"/>
  <c r="F95" i="164"/>
  <c r="F99" i="164"/>
  <c r="F22" i="16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66" i="164" l="1"/>
  <c r="F67" i="164"/>
  <c r="F51" i="164"/>
  <c r="F64" i="164"/>
  <c r="F48" i="164"/>
  <c r="F74" i="164"/>
  <c r="F58" i="164"/>
  <c r="F42" i="164"/>
  <c r="F69" i="164"/>
  <c r="F53" i="164"/>
  <c r="F63" i="164"/>
  <c r="F47" i="164"/>
  <c r="F60" i="164"/>
  <c r="F44" i="164"/>
  <c r="F70" i="164"/>
  <c r="F54" i="164"/>
  <c r="F65" i="164"/>
  <c r="F49" i="164"/>
  <c r="F75" i="164"/>
  <c r="F59" i="164"/>
  <c r="F43" i="164"/>
  <c r="F72" i="164"/>
  <c r="F56" i="164"/>
  <c r="F66" i="164"/>
  <c r="F50" i="164"/>
  <c r="F61" i="164"/>
  <c r="F45" i="164"/>
  <c r="E64" i="164"/>
  <c r="E75" i="164"/>
  <c r="F71" i="164"/>
  <c r="F55" i="164"/>
  <c r="F40" i="164"/>
  <c r="F68" i="164"/>
  <c r="F52" i="164"/>
  <c r="F62" i="164"/>
  <c r="F46" i="164"/>
  <c r="F73" i="164"/>
  <c r="F57" i="164"/>
  <c r="F41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66" i="164" l="1"/>
  <c r="G71" i="164"/>
  <c r="F100" i="164"/>
  <c r="G64" i="164"/>
  <c r="G75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<sst xmlns="http://schemas.openxmlformats.org/spreadsheetml/2006/main" count="174" uniqueCount="166">
  <si>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</si>
  <si>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</si>
  <si>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</si>
  <si>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</si>
  <si>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</si>
  <si>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</si>
  <si>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</si>
  <si>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</si>
  <si>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</si>
  <si>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</si>
  <si>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</si>
  <si>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</si>
  <si>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</si>
  <si>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</si>
  <si>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</si>
  <si>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</si>
  <si>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</si>
  <si>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</si>
  <si>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</si>
  <si>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</si>
  <si>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</si>
  <si>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</si>
  <si>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</si>
  <si>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</si>
  <si>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</si>
  <si>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</si>
  <si>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</si>
  <si>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</si>
  <si>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</si>
  <si>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</si>
  <si>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</si>
  <si>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</si>
  <si>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</si>
  <si>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</si>
  <si>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</si>
  <si>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</si>
  <si>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</si>
  <si>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</si>
  <si>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</si>
  <si>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</si>
  <si>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</si>
  <si>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</si>
  <si>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</si>
  <si>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</si>
  <si>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</si>
  <si>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</si>
  <si>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</si>
  <si>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</si>
  <si>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</si>
  <si>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</si>
  <si>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</si>
  <si>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</si>
  <si>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</si>
  <si>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</si>
  <si>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</si>
  <si>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</si>
  <si>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</si>
  <si>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</si>
  <si>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</si>
  <si>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</si>
  <si>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</si>
  <si>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</si>
  <si>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</si>
  <si>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</si>
  <si>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</si>
  <si>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</si>
  <si>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</si>
  <si>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</si>
  <si>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</si>
  <si>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</si>
  <si>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</si>
  <si>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</si>
  <si>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</si>
  <si>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</si>
  <si>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</si>
  <si>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</si>
  <si>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</si>
  <si>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</si>
  <si>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</si>
  <si>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</si>
  <si>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</si>
  <si>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</si>
  <si>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</si>
  <si>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</si>
  <si>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</si>
  <si>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</si>
  <si>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</si>
  <si>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</si>
  <si>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</si>
  <si>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</si>
  <si>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</si>
  <si>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</si>
  <si>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</si>
  <si>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</si>
  <si>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</si>
  <si>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</si>
  <si>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</si>
  <si>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</si>
  <si>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</si>
  <si>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</si>
  <si>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</si>
  <si>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</si>
  <si>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</si>
  <si>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</si>
  <si>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</si>
  <si>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</si>
  <si>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</si>
  <si>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</si>
  <si>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</si>
  <si>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</si>
  <si>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</si>
  <si>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</si>
  <si>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</si>
  <si>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</si>
  <si>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</si>
  <si>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</si>
  <si>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</si>
  <si>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</si>
  <si>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</si>
  <si>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</si>
  <si>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</si>
  <si>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</si>
  <si>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</si>
  <si>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</si>
  <si>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</si>
  <si>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</si>
  <si>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</si>
  <si>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</si>
  <si>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</si>
  <si>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</si>
  <si>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</si>
  <si>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</si>
  <si>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</si>
  <si>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</si>
  <si>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</si>
  <si>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</si>
  <si>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</si>
  <si>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</si>
  <si>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</si>
  <si>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</si>
  <si>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</si>
  <si>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</si>
  <si>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</si>
  <si>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</si>
  <si>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</si>
  <si>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</si>
  <si>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</si>
  <si>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</si>
  <si>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</si>
  <si>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</si>
  <si>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</si>
  <si>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</si>
  <si>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</si>
  <si>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</si>
  <si>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</si>
  <si>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</si>
  <si>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</si>
  <si>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</si>
  <si>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</si>
  <si>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</si>
  <si>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Кібернетики_0-6-18</t>
  </si>
  <si>
    <t>NST Ідея Кібернетики_0-9-24</t>
  </si>
  <si>
    <t>NST Ідея Кібернетики_0-3-12</t>
  </si>
  <si>
    <t>NST Ідея Кібернетики_0-0-12 Стандарт</t>
  </si>
  <si>
    <t>NST Ідея Кібернетики_0-0-24 Стандарт</t>
  </si>
  <si>
    <t>NST Ідея Кібернетики_0-0-36 Стандарт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</si>
</sst>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VLOOKUP('NST Ідея_ТзОВ Скайфол'!H2,Лист2!A:P,16,FALSE)</f>
        <v>1000</v>
      </c>
      <c r="F2" s="132">
        <f>VLOOKUP(H$2,Лист2!$A:$H,8,0)</f>
        <v>74999.998200000002</v>
      </c>
      <c r="G2" s="177">
        <f ca="1">TODAY()</f>
        <v>45331</v>
      </c>
      <c r="H2" s="193" t="s">
        <v>162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51000</v>
      </c>
      <c r="F3" s="195" t="str">
        <f>IF(E3="x","Збільшіть суму",IF(E3="y","Зменшіть суму",""))</f>
        <v/>
      </c>
      <c r="G3" s="133">
        <f>Назви!B32</f>
        <v>30.4</v>
      </c>
      <c r="H3" s="197">
        <f>VLOOKUP(H$2,Лист2!$A:$H,8,0)</f>
        <v>74999.998200000002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2"/>
      <c r="I4" s="120"/>
      <c r="J4" s="35"/>
      <c r="AA4" s="51"/>
    </row>
    <row r="5" spans="1:45" ht="21" thickBot="1" x14ac:dyDescent="0.25">
      <c r="A5" s="1"/>
      <c r="B5" s="199" t="s">
        <v>42</v>
      </c>
      <c r="C5" s="200"/>
      <c r="D5" s="200"/>
      <c r="E5" s="201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3">
        <f>F5+F5*F11+F15+F5*F17</f>
        <v>51000</v>
      </c>
      <c r="G7" s="164"/>
      <c r="H7" s="165"/>
      <c r="I7" s="42"/>
      <c r="J7" s="4"/>
      <c r="K7" s="37"/>
      <c r="L7" s="51" t="str">
        <f>Лист2!A4</f>
        <v>NST Ідея Кібернетики_0-3-12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str">
        <f>Лист2!A5</f>
        <v>NST Ідея Кібернетики_0-6-18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Кібернетики_0-9-24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 Ідея Кібернетики_0-0-12 Стандарт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NST Ідея Кібернетики_0-0-24 Стандарт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str">
        <f>Лист2!A9</f>
        <v>NST Ідея Кібернетики_0-0-36 Стандарт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40">
        <f>VLOOKUP(H$2,Лист2!$A:$J,9,0)</f>
        <v>3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4">
        <f>VLOOKUP(H$2,Лист2!$A:$K,11,0)</f>
        <v>0.02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4">
        <f>VLOOKUP(H$2,Лист2!$A:$G,6,0)</f>
        <v>3.9899999999999998E-2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1">
        <f>VLOOKUP(H$2,Лист2!$A:$G,3,0)</f>
        <v>12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51000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60">
        <f>G100-F5</f>
        <v>19319.199999999997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4">
        <f>F5+F24</f>
        <v>69319.199999999997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7">
        <f ca="1">XIRR(G39:G87,C39:C87)</f>
        <v>0.80944560766220097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hidden="1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45331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45360</v>
      </c>
      <c r="D40" s="19">
        <f>IF(B40&lt;=$F$21,$F$7/$F$21,0)</f>
        <v>4250</v>
      </c>
      <c r="E40" s="20">
        <f>IF(AND(B40&gt;F$13,B40&lt;=$F$21),F$7*F$19,0)</f>
        <v>0</v>
      </c>
      <c r="F40" s="182">
        <f>IF(B40&lt;=$F$21,F$7*F$9/12,0)</f>
        <v>0.42500000000000004</v>
      </c>
      <c r="G40" s="208">
        <f t="shared" ref="G40:G71" si="0">IF(B$40&lt;=F$21,D40+E40+F40,0)</f>
        <v>4250.4250000000002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45391</v>
      </c>
      <c r="D41" s="19">
        <f t="shared" ref="D41:D87" si="2">IF(B41&lt;=$F$21,$F$7/$F$21,0)</f>
        <v>4250</v>
      </c>
      <c r="E41" s="20">
        <f t="shared" ref="E41:E99" si="3">IF(AND(B41&gt;F$13,B41&lt;=$F$21),F$7*F$19,0)</f>
        <v>0</v>
      </c>
      <c r="F41" s="182">
        <f t="shared" ref="F41:F99" si="4">IF(B41&lt;=$F$21,F$7*F$9/12,0)</f>
        <v>0.42500000000000004</v>
      </c>
      <c r="G41" s="208">
        <f t="shared" si="0"/>
        <v>4250.4250000000002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45421</v>
      </c>
      <c r="D42" s="19">
        <f t="shared" si="2"/>
        <v>4250</v>
      </c>
      <c r="E42" s="20">
        <f t="shared" si="3"/>
        <v>0</v>
      </c>
      <c r="F42" s="182">
        <f t="shared" si="4"/>
        <v>0.42500000000000004</v>
      </c>
      <c r="G42" s="208">
        <f t="shared" si="0"/>
        <v>4250.4250000000002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45452</v>
      </c>
      <c r="D43" s="19">
        <f t="shared" si="2"/>
        <v>4250</v>
      </c>
      <c r="E43" s="20">
        <f t="shared" si="3"/>
        <v>2034.8999999999999</v>
      </c>
      <c r="F43" s="182">
        <f t="shared" si="4"/>
        <v>0.42500000000000004</v>
      </c>
      <c r="G43" s="208">
        <f t="shared" si="0"/>
        <v>6285.3249999999998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45482</v>
      </c>
      <c r="D44" s="19">
        <f t="shared" si="2"/>
        <v>4250</v>
      </c>
      <c r="E44" s="20">
        <f t="shared" si="3"/>
        <v>2034.8999999999999</v>
      </c>
      <c r="F44" s="182">
        <f t="shared" si="4"/>
        <v>0.42500000000000004</v>
      </c>
      <c r="G44" s="208">
        <f t="shared" si="0"/>
        <v>6285.3249999999998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45513</v>
      </c>
      <c r="D45" s="19">
        <f t="shared" si="2"/>
        <v>4250</v>
      </c>
      <c r="E45" s="20">
        <f t="shared" si="3"/>
        <v>2034.8999999999999</v>
      </c>
      <c r="F45" s="182">
        <f t="shared" si="4"/>
        <v>0.42500000000000004</v>
      </c>
      <c r="G45" s="208">
        <f t="shared" si="0"/>
        <v>6285.3249999999998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45544</v>
      </c>
      <c r="D46" s="19">
        <f t="shared" si="2"/>
        <v>4250</v>
      </c>
      <c r="E46" s="20">
        <f t="shared" si="3"/>
        <v>2034.8999999999999</v>
      </c>
      <c r="F46" s="182">
        <f t="shared" si="4"/>
        <v>0.42500000000000004</v>
      </c>
      <c r="G46" s="208">
        <f t="shared" si="0"/>
        <v>6285.3249999999998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45574</v>
      </c>
      <c r="D47" s="19">
        <f t="shared" si="2"/>
        <v>4250</v>
      </c>
      <c r="E47" s="20">
        <f t="shared" si="3"/>
        <v>2034.8999999999999</v>
      </c>
      <c r="F47" s="182">
        <f t="shared" si="4"/>
        <v>0.42500000000000004</v>
      </c>
      <c r="G47" s="208">
        <f t="shared" si="0"/>
        <v>6285.3249999999998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45605</v>
      </c>
      <c r="D48" s="19">
        <f t="shared" si="2"/>
        <v>4250</v>
      </c>
      <c r="E48" s="20">
        <f t="shared" si="3"/>
        <v>2034.8999999999999</v>
      </c>
      <c r="F48" s="182">
        <f t="shared" si="4"/>
        <v>0.42500000000000004</v>
      </c>
      <c r="G48" s="208">
        <f t="shared" si="0"/>
        <v>6285.3249999999998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45635</v>
      </c>
      <c r="D49" s="19">
        <f t="shared" si="2"/>
        <v>4250</v>
      </c>
      <c r="E49" s="20">
        <f t="shared" si="3"/>
        <v>2034.8999999999999</v>
      </c>
      <c r="F49" s="182">
        <f t="shared" si="4"/>
        <v>0.42500000000000004</v>
      </c>
      <c r="G49" s="208">
        <f t="shared" si="0"/>
        <v>6285.3249999999998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45666</v>
      </c>
      <c r="D50" s="19">
        <f t="shared" si="2"/>
        <v>4250</v>
      </c>
      <c r="E50" s="20">
        <f t="shared" si="3"/>
        <v>2034.8999999999999</v>
      </c>
      <c r="F50" s="182">
        <f t="shared" si="4"/>
        <v>0.42500000000000004</v>
      </c>
      <c r="G50" s="208">
        <f t="shared" si="0"/>
        <v>6285.3249999999998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45697</v>
      </c>
      <c r="D51" s="19">
        <f t="shared" si="2"/>
        <v>4250</v>
      </c>
      <c r="E51" s="20">
        <f t="shared" si="3"/>
        <v>2034.8999999999999</v>
      </c>
      <c r="F51" s="182">
        <f t="shared" si="4"/>
        <v>0.42500000000000004</v>
      </c>
      <c r="G51" s="208">
        <f t="shared" si="0"/>
        <v>6285.3249999999998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45725</v>
      </c>
      <c r="D52" s="19">
        <f t="shared" si="2"/>
        <v>0</v>
      </c>
      <c r="E52" s="20">
        <f t="shared" si="3"/>
        <v>0</v>
      </c>
      <c r="F52" s="182">
        <f t="shared" si="4"/>
        <v>0</v>
      </c>
      <c r="G52" s="208">
        <f t="shared" si="0"/>
        <v>0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45756</v>
      </c>
      <c r="D53" s="19">
        <f t="shared" si="2"/>
        <v>0</v>
      </c>
      <c r="E53" s="20">
        <f t="shared" si="3"/>
        <v>0</v>
      </c>
      <c r="F53" s="182">
        <f t="shared" si="4"/>
        <v>0</v>
      </c>
      <c r="G53" s="208">
        <f t="shared" si="0"/>
        <v>0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45786</v>
      </c>
      <c r="D54" s="19">
        <f t="shared" si="2"/>
        <v>0</v>
      </c>
      <c r="E54" s="20">
        <f t="shared" si="3"/>
        <v>0</v>
      </c>
      <c r="F54" s="182">
        <f t="shared" si="4"/>
        <v>0</v>
      </c>
      <c r="G54" s="208">
        <f t="shared" si="0"/>
        <v>0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45817</v>
      </c>
      <c r="D55" s="19">
        <f t="shared" si="2"/>
        <v>0</v>
      </c>
      <c r="E55" s="20">
        <f t="shared" si="3"/>
        <v>0</v>
      </c>
      <c r="F55" s="182">
        <f t="shared" si="4"/>
        <v>0</v>
      </c>
      <c r="G55" s="208">
        <f t="shared" si="0"/>
        <v>0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45847</v>
      </c>
      <c r="D56" s="19">
        <f t="shared" si="2"/>
        <v>0</v>
      </c>
      <c r="E56" s="20">
        <f t="shared" si="3"/>
        <v>0</v>
      </c>
      <c r="F56" s="182">
        <f t="shared" si="4"/>
        <v>0</v>
      </c>
      <c r="G56" s="208">
        <f t="shared" si="0"/>
        <v>0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45878</v>
      </c>
      <c r="D57" s="19">
        <f t="shared" si="2"/>
        <v>0</v>
      </c>
      <c r="E57" s="20">
        <f t="shared" si="3"/>
        <v>0</v>
      </c>
      <c r="F57" s="182">
        <f t="shared" si="4"/>
        <v>0</v>
      </c>
      <c r="G57" s="208">
        <f t="shared" si="0"/>
        <v>0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45909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208">
        <f t="shared" si="0"/>
        <v>0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45939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208">
        <f t="shared" si="0"/>
        <v>0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45970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208">
        <f t="shared" si="0"/>
        <v>0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46000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208">
        <f t="shared" si="0"/>
        <v>0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46031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208">
        <f t="shared" si="0"/>
        <v>0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46062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208">
        <f t="shared" si="0"/>
        <v>0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46090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208">
        <f t="shared" si="0"/>
        <v>0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46121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208">
        <f t="shared" si="0"/>
        <v>0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46151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208">
        <f t="shared" si="0"/>
        <v>0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46182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208">
        <f t="shared" si="0"/>
        <v>0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46212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208">
        <f t="shared" si="0"/>
        <v>0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46243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208">
        <f t="shared" si="0"/>
        <v>0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46274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208">
        <f t="shared" si="0"/>
        <v>0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46304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208">
        <f t="shared" si="0"/>
        <v>0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46335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208">
        <f t="shared" ref="G72:G99" si="5">IF(B$40&lt;=F$21,D72+E72+F72,0)</f>
        <v>0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46365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208">
        <f t="shared" si="5"/>
        <v>0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46396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208">
        <f t="shared" si="5"/>
        <v>0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46427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208">
        <f t="shared" si="5"/>
        <v>0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46455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46486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46516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46547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46577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46608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46639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46669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46700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46730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46761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46792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46821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46852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46882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46913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46943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46974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47005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47035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47066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47096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47127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47158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51000</v>
      </c>
      <c r="E100" s="93">
        <f>SUM(E40:E99)</f>
        <v>18314.099999999999</v>
      </c>
      <c r="F100" s="99">
        <f>SUM(F40:F99)</f>
        <v>5.0999999999999988</v>
      </c>
      <c r="G100" s="211">
        <f>SUM(G40:H99)</f>
        <v>69319.199999999997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MO5UB1gceYTI6FWIc9/U/EJGg1I4DYKNQnGrSzOK0kw61YTwdVKDXkH3/u4z9Lg/J0toR4ZLUWA+3olEtF0t4Q==" saltValue="UoTrUjSBOZ7NhDM+Y+2Idg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$L$7:$L$12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zoomScale="85" zoomScaleNormal="85" workbookViewId="0">
      <selection activeCell="B9" sqref="B9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162</v>
      </c>
      <c r="B4" s="121">
        <v>73529.41</v>
      </c>
      <c r="C4" s="151">
        <v>12</v>
      </c>
      <c r="D4" s="152">
        <v>1E-4</v>
      </c>
      <c r="E4" s="152">
        <v>0</v>
      </c>
      <c r="F4" s="152">
        <v>3.9899999999999998E-2</v>
      </c>
      <c r="G4" s="151" t="str">
        <f t="shared" ref="G4:G9" si="0">I$2&amp;" "&amp;B4&amp;" "&amp;H$2</f>
        <v>max. 73529,41 грн.</v>
      </c>
      <c r="H4" s="184">
        <f>B4+B4*K4</f>
        <v>74999.998200000002</v>
      </c>
      <c r="I4" s="151">
        <v>3</v>
      </c>
      <c r="K4" s="185">
        <v>0.02</v>
      </c>
      <c r="L4" s="153">
        <f t="shared" ref="L4" si="1">D4/12/(1-1/POWER(1+D4/12,C4))*H4+H4*F4</f>
        <v>9242.8383249789476</v>
      </c>
      <c r="M4" s="154">
        <f t="shared" ref="M4:M9" si="2">F4</f>
        <v>3.9899999999999998E-2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160</v>
      </c>
      <c r="B5" s="121">
        <v>73170.73</v>
      </c>
      <c r="C5" s="151">
        <v>18</v>
      </c>
      <c r="D5" s="152">
        <v>1E-4</v>
      </c>
      <c r="E5" s="152">
        <v>0</v>
      </c>
      <c r="F5" s="152">
        <v>3.9899999999999998E-2</v>
      </c>
      <c r="G5" s="151" t="str">
        <f t="shared" si="0"/>
        <v>max. 73170,73 грн.</v>
      </c>
      <c r="H5" s="184">
        <f t="shared" ref="H5:H6" si="3">B5+B5*K5</f>
        <v>74999.99824999999</v>
      </c>
      <c r="I5" s="151">
        <v>6</v>
      </c>
      <c r="K5" s="185">
        <v>2.5000000000000001E-2</v>
      </c>
      <c r="L5" s="153">
        <f t="shared" ref="L5:L6" si="4">D5/12/(1-1/POWER(1+D5/12,C5))*H5+H5*F5</f>
        <v>7159.4963684895856</v>
      </c>
      <c r="M5" s="154">
        <f t="shared" si="2"/>
        <v>3.9899999999999998E-2</v>
      </c>
      <c r="N5" s="154"/>
      <c r="O5" s="155">
        <v>0</v>
      </c>
      <c r="P5" s="151">
        <v>1000</v>
      </c>
    </row>
    <row r="6" spans="1:16" x14ac:dyDescent="0.2">
      <c r="A6" s="151" t="s">
        <v>161</v>
      </c>
      <c r="B6" s="121">
        <v>72815.53</v>
      </c>
      <c r="C6" s="151">
        <v>24</v>
      </c>
      <c r="D6" s="152">
        <v>1E-4</v>
      </c>
      <c r="E6" s="152">
        <v>0</v>
      </c>
      <c r="F6" s="152">
        <v>3.9899999999999998E-2</v>
      </c>
      <c r="G6" s="151" t="str">
        <f t="shared" si="0"/>
        <v>max. 72815,53 грн.</v>
      </c>
      <c r="H6" s="184">
        <f t="shared" si="3"/>
        <v>74999.995899999994</v>
      </c>
      <c r="I6" s="151">
        <v>9</v>
      </c>
      <c r="J6" s="151"/>
      <c r="K6" s="185">
        <v>0.03</v>
      </c>
      <c r="L6" s="153">
        <f t="shared" si="4"/>
        <v>6117.8251967741926</v>
      </c>
      <c r="M6" s="154">
        <f t="shared" si="2"/>
        <v>3.9899999999999998E-2</v>
      </c>
      <c r="N6" s="154"/>
      <c r="O6" s="155">
        <v>0</v>
      </c>
      <c r="P6" s="151">
        <v>1000</v>
      </c>
    </row>
    <row r="7" spans="1:16" x14ac:dyDescent="0.2">
      <c r="A7" s="151" t="s">
        <v>163</v>
      </c>
      <c r="B7" s="121">
        <v>194174.76</v>
      </c>
      <c r="C7" s="151">
        <v>12</v>
      </c>
      <c r="D7" s="152">
        <v>1E-4</v>
      </c>
      <c r="E7" s="152">
        <v>0</v>
      </c>
      <c r="F7" s="152">
        <v>2.5000000000000001E-2</v>
      </c>
      <c r="G7" s="151" t="str">
        <f t="shared" si="0"/>
        <v>max. 194174,76 грн.</v>
      </c>
      <c r="H7" s="184">
        <f t="shared" ref="H7" si="5">B7+B7*K7</f>
        <v>200000.00280000002</v>
      </c>
      <c r="I7" s="151">
        <v>0</v>
      </c>
      <c r="J7" s="151"/>
      <c r="K7" s="185">
        <v>0.03</v>
      </c>
      <c r="L7" s="153">
        <f t="shared" ref="L7" si="6">D7/12/(1-1/POWER(1+D7/12,C7))*H7+H7*F7</f>
        <v>21667.569761498169</v>
      </c>
      <c r="M7" s="154">
        <f t="shared" si="2"/>
        <v>2.5000000000000001E-2</v>
      </c>
      <c r="N7" s="154"/>
      <c r="O7" s="155">
        <v>0</v>
      </c>
      <c r="P7" s="151">
        <v>1000</v>
      </c>
    </row>
    <row r="8" spans="1:16" x14ac:dyDescent="0.2">
      <c r="A8" s="151" t="s">
        <v>164</v>
      </c>
      <c r="B8" s="121">
        <v>194174.76</v>
      </c>
      <c r="C8" s="151">
        <v>24</v>
      </c>
      <c r="D8" s="152">
        <v>1E-4</v>
      </c>
      <c r="E8" s="152">
        <v>0</v>
      </c>
      <c r="F8" s="152">
        <v>2.5000000000000001E-2</v>
      </c>
      <c r="G8" s="151" t="str">
        <f t="shared" si="0"/>
        <v>max. 194174,76 грн.</v>
      </c>
      <c r="H8" s="184">
        <f t="shared" ref="H8:H9" si="7">B8+B8*K8</f>
        <v>200000.00280000002</v>
      </c>
      <c r="I8" s="151">
        <v>0</v>
      </c>
      <c r="J8" s="151"/>
      <c r="K8" s="185">
        <v>0.03</v>
      </c>
      <c r="L8" s="153">
        <f t="shared" ref="L8:L9" si="8">D8/12/(1-1/POWER(1+D8/12,C8))*H8+H8*F8</f>
        <v>13334.201603253012</v>
      </c>
      <c r="M8" s="154">
        <f t="shared" si="2"/>
        <v>2.5000000000000001E-2</v>
      </c>
      <c r="N8" s="154"/>
      <c r="O8" s="155">
        <v>0</v>
      </c>
      <c r="P8" s="151">
        <v>1000</v>
      </c>
    </row>
    <row r="9" spans="1:16" x14ac:dyDescent="0.2">
      <c r="A9" s="151" t="s">
        <v>165</v>
      </c>
      <c r="B9" s="121">
        <v>194174.76</v>
      </c>
      <c r="C9" s="151">
        <v>36</v>
      </c>
      <c r="D9" s="152">
        <v>1E-4</v>
      </c>
      <c r="E9" s="152">
        <v>0</v>
      </c>
      <c r="F9" s="152">
        <v>2.5000000000000001E-2</v>
      </c>
      <c r="G9" s="151" t="str">
        <f t="shared" si="0"/>
        <v>max. 194174,76 грн.</v>
      </c>
      <c r="H9" s="184">
        <f t="shared" si="7"/>
        <v>200000.00280000002</v>
      </c>
      <c r="I9" s="151">
        <v>0</v>
      </c>
      <c r="J9" s="151"/>
      <c r="K9" s="185">
        <v>0.03</v>
      </c>
      <c r="L9" s="153">
        <f t="shared" si="8"/>
        <v>10556.412226432029</v>
      </c>
      <c r="M9" s="154">
        <f t="shared" si="2"/>
        <v>2.5000000000000001E-2</v>
      </c>
      <c r="N9" s="154"/>
      <c r="O9" s="155">
        <v>0</v>
      </c>
      <c r="P9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Ідея_ТзОВ Скайфол</vt:lpstr>
      <vt:lpstr>Перелік партнерів</vt:lpstr>
      <vt:lpstr>Назви</vt:lpstr>
      <vt:lpstr>Лист2</vt:lpstr>
      <vt:lpstr>'NST Ідея_ТзОВ Скайфол'!Область_друку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2024-02-09T07:33:37Z</dcterms:modified>
</cp:coreProperties>
</file>