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43FEBA77-69C1-4859-BD17-3004727E4C47}" xr6:coauthVersionLast="47" xr6:coauthVersionMax="47" xr10:uidLastSave="{00000000-0000-0000-0000-000000000000}"/>
  <workbookProtection workbookAlgorithmName="SHA-512" workbookHashValue="+/p8s5XezEI99YPXPMWFLS8YY7gfqMbkK2NzUShbwpwr/vvsGemPdej/JponWStOGy7z+NviKzO9uyaXEz5lzw==" workbookSaltValue="0+WB/s/vqkqydDkKexH7XA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Інновації XXI ст.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Інновації XXI ст.'!$A$1:$I$103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L10" i="164"/>
  <c r="L11" i="164"/>
  <c r="L12" i="164"/>
  <c r="L13" i="164"/>
  <c r="G8" i="165"/>
  <c r="H8" i="165"/>
  <c r="L8" i="165" s="1"/>
  <c r="M8" i="165"/>
  <c r="G9" i="165"/>
  <c r="H9" i="165"/>
  <c r="L9" i="165" s="1"/>
  <c r="M9" i="165"/>
  <c r="G10" i="165"/>
  <c r="H10" i="165"/>
  <c r="L10" i="165" s="1"/>
  <c r="M10" i="165"/>
  <c r="M7" i="165"/>
  <c r="H7" i="165"/>
  <c r="L7" i="165" s="1"/>
  <c r="G7" i="165"/>
  <c r="H5" i="165" l="1"/>
  <c r="H6" i="165"/>
  <c r="F2" i="164" s="1"/>
  <c r="H4" i="165"/>
  <c r="E2" i="164"/>
  <c r="G2" i="164"/>
  <c r="G3" i="164"/>
  <c r="H3" i="164" l="1"/>
  <c r="G39" i="164"/>
  <c r="M6" i="165" l="1"/>
  <c r="L6" i="165"/>
  <c r="G6" i="165"/>
  <c r="M5" i="165"/>
  <c r="L5" i="165"/>
  <c r="G5" i="165"/>
  <c r="G4" i="165" l="1"/>
  <c r="L17" i="164" l="1"/>
  <c r="L14" i="164" l="1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66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<sst xmlns="http://schemas.openxmlformats.org/spreadsheetml/2006/main" count="175" uniqueCount="167">
  <si>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</si>
  <si>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</si>
  <si>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</si>
  <si>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</si>
  <si>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</si>
  <si>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</si>
  <si>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</si>
  <si>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</si>
  <si>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</si>
  <si>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</si>
  <si>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</si>
  <si>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</si>
  <si>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</si>
  <si>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</si>
  <si>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</si>
  <si>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</si>
  <si>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</si>
  <si>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</si>
  <si>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</si>
  <si>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</si>
  <si>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</si>
  <si>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</si>
  <si>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</si>
  <si>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</si>
  <si>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</si>
  <si>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</si>
  <si>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</si>
  <si>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</si>
  <si>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</si>
  <si>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</si>
  <si>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</si>
  <si>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</si>
  <si>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</si>
  <si>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</si>
  <si>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</si>
  <si>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</si>
  <si>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</si>
  <si>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</si>
  <si>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</si>
  <si>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</si>
  <si>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</si>
  <si>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</si>
  <si>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</si>
  <si>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</si>
  <si>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</si>
  <si>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</si>
  <si>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</si>
  <si>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</si>
  <si>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</si>
  <si>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</si>
  <si>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</si>
  <si>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</si>
  <si>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</si>
  <si>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</si>
  <si>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</si>
  <si>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</si>
  <si>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</si>
  <si>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</si>
  <si>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</si>
  <si>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</si>
  <si>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</si>
  <si>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</si>
  <si>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</si>
  <si>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</si>
  <si>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</si>
  <si>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</si>
  <si>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</si>
  <si>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</si>
  <si>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</si>
  <si>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</si>
  <si>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</si>
  <si>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</si>
  <si>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</si>
  <si>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</si>
  <si>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</si>
  <si>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</si>
  <si>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</si>
  <si>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</si>
  <si>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</si>
  <si>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</si>
  <si>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</si>
  <si>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</si>
  <si>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</si>
  <si>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</si>
  <si>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</si>
  <si>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</si>
  <si>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</si>
  <si>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</si>
  <si>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</si>
  <si>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</si>
  <si>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</si>
  <si>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</si>
  <si>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</si>
  <si>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</si>
  <si>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</si>
  <si>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</si>
  <si>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</si>
  <si>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</si>
  <si>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</si>
  <si>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</si>
  <si>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</si>
  <si>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</si>
  <si>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</si>
  <si>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</si>
  <si>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</si>
  <si>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</si>
  <si>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</si>
  <si>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</si>
  <si>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</si>
  <si>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</si>
  <si>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</si>
  <si>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</si>
  <si>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</si>
  <si>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</si>
  <si>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</si>
  <si>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</si>
  <si>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</si>
  <si>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</si>
  <si>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</si>
  <si>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</si>
  <si>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</si>
  <si>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</si>
  <si>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</si>
  <si>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</si>
  <si>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</si>
  <si>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</si>
  <si>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</si>
  <si>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</si>
  <si>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</si>
  <si>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</si>
  <si>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</si>
  <si>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</si>
  <si>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</si>
  <si>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</si>
  <si>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</si>
  <si>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</si>
  <si>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</si>
  <si>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</si>
  <si>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</si>
  <si>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</si>
  <si>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</si>
  <si>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</si>
  <si>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</si>
  <si>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</si>
  <si>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</si>
  <si>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</si>
  <si>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</si>
  <si>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</si>
  <si>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</si>
  <si>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</si>
  <si>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</si>
  <si>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</si>
  <si>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</si>
  <si>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</si>
  <si>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</si>
  <si>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</si>
  <si>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</si>
  <si>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</si>
  <si>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</si>
  <si>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</si>
  <si>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iStudio_0-0-12</t>
  </si>
  <si>
    <t>NST Ідея iStudio_0-0-24</t>
  </si>
  <si>
    <t>NST Ідея iStudio_0-0-36</t>
  </si>
  <si>
    <t>NST Ідея Yabluka_0-6-12</t>
  </si>
  <si>
    <t>NST Ідея Yabluka_0-9-24</t>
  </si>
  <si>
    <t>NST Ідея Yabluka_0-5-12</t>
  </si>
  <si>
    <t>NST Ідея Yabluka_0-3-12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</si>
</sst>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10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921068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978218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5703125" style="4" bestFit="1" customWidth="1"/>
    <col min="4" max="4" width="15" style="4" bestFit="1" customWidth="1"/>
    <col min="5" max="5" width="31" style="4" customWidth="1"/>
    <col min="6" max="6" width="16.28515625" style="4" bestFit="1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4" t="s">
        <v>48</v>
      </c>
      <c r="I1" s="214"/>
    </row>
    <row r="2" spans="1:45" ht="12.75" customHeight="1" x14ac:dyDescent="0.2">
      <c r="A2" s="2"/>
      <c r="B2" s="88"/>
      <c r="C2" s="88"/>
      <c r="D2" s="88"/>
      <c r="E2" s="109">
        <f>VLOOKUP('NST Ідея_ТзОВ Інновації XXI ст.'!H2,Лист2!A:P,16,FALSE)</f>
        <v>1000</v>
      </c>
      <c r="F2" s="132">
        <f>VLOOKUP(H$2,Лист2!$A:$H,8,0)</f>
        <v>199999.99859999999</v>
      </c>
      <c r="G2" s="177">
        <f ca="1">TODAY()</f>
        <v>45484</v>
      </c>
      <c r="H2" s="220" t="s">
        <v>160</v>
      </c>
      <c r="I2" s="221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51000</v>
      </c>
      <c r="F3" s="222" t="str">
        <f>IF(E3="x","Збільшіть суму",IF(E3="y","Зменшіть суму",""))</f>
        <v/>
      </c>
      <c r="G3" s="133">
        <f>Назви!B32</f>
        <v>30.4</v>
      </c>
      <c r="H3" s="224">
        <f>VLOOKUP(H$2,Лист2!$A:$H,8,0)</f>
        <v>199999.99859999999</v>
      </c>
      <c r="I3" s="225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3"/>
      <c r="G4" s="112"/>
      <c r="H4" s="162"/>
      <c r="I4" s="120"/>
      <c r="J4" s="35"/>
      <c r="AA4" s="51"/>
    </row>
    <row r="5" spans="1:45" ht="21" thickBot="1" x14ac:dyDescent="0.25">
      <c r="A5" s="1"/>
      <c r="B5" s="226" t="s">
        <v>42</v>
      </c>
      <c r="C5" s="227"/>
      <c r="D5" s="227"/>
      <c r="E5" s="228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7" t="s">
        <v>43</v>
      </c>
      <c r="C7" s="218"/>
      <c r="D7" s="218"/>
      <c r="E7" s="219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NST Ідея iStudio_0-0-12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5"/>
      <c r="B8" s="215"/>
      <c r="C8" s="215"/>
      <c r="D8" s="215"/>
      <c r="E8" s="215"/>
      <c r="F8" s="189"/>
      <c r="G8" s="215"/>
      <c r="H8" s="215"/>
      <c r="I8" s="215"/>
      <c r="J8" s="4"/>
      <c r="K8" s="37"/>
      <c r="L8" s="51" t="str">
        <f>Лист2!A5</f>
        <v>NST Ідея iStudio_0-0-24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9" t="str">
        <f>Назви!A3</f>
        <v>Процентна ставка, % річних</v>
      </c>
      <c r="C9" s="230">
        <f>Назви!B3</f>
        <v>0</v>
      </c>
      <c r="D9" s="230">
        <f>Назви!C3</f>
        <v>0</v>
      </c>
      <c r="E9" s="230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iStudio_0-0-36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Yabluka_0-3-12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8" t="str">
        <f>Назви!A5</f>
        <v>Разовий страховий тариф, %</v>
      </c>
      <c r="C11" s="197">
        <f>Назви!B5</f>
        <v>0</v>
      </c>
      <c r="D11" s="197">
        <f>Назви!C5</f>
        <v>0</v>
      </c>
      <c r="E11" s="197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Yabluka_0-5-12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str">
        <f>Лист2!A9</f>
        <v>NST Ідея Yabluka_0-6-12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7" t="s">
        <v>41</v>
      </c>
      <c r="C13" s="187"/>
      <c r="D13" s="187"/>
      <c r="E13" s="188"/>
      <c r="F13" s="140">
        <f>VLOOKUP(H$2,Лист2!$A:$J,9,0)</f>
        <v>0</v>
      </c>
      <c r="G13" s="175"/>
      <c r="H13" s="173"/>
      <c r="I13" s="120"/>
      <c r="J13" s="4"/>
      <c r="K13" s="37"/>
      <c r="L13" s="51" t="str">
        <f>Лист2!A10</f>
        <v>NST Ідея Yabluka_0-9-24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7" t="s">
        <v>39</v>
      </c>
      <c r="C15" s="187"/>
      <c r="D15" s="187"/>
      <c r="E15" s="188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7" t="s">
        <v>40</v>
      </c>
      <c r="C17" s="187"/>
      <c r="D17" s="187"/>
      <c r="E17" s="187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8" t="str">
        <f>Назви!A7</f>
        <v xml:space="preserve">Щомісячна плата за обслуговування кредитної заборгованості, % </v>
      </c>
      <c r="C19" s="197">
        <f>Назви!B7</f>
        <v>0</v>
      </c>
      <c r="D19" s="197">
        <f>Назви!C7</f>
        <v>0</v>
      </c>
      <c r="E19" s="198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8" t="str">
        <f>Назви!A9</f>
        <v>Термін кредитування (міс.)</v>
      </c>
      <c r="C21" s="197">
        <f>Назви!B9</f>
        <v>0</v>
      </c>
      <c r="D21" s="197">
        <f>Назви!C9</f>
        <v>0</v>
      </c>
      <c r="E21" s="198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2" t="str">
        <f>Назви!A14</f>
        <v>Орієнтовні загальні витрати за кредитом, грн.</v>
      </c>
      <c r="C24" s="193"/>
      <c r="D24" s="193"/>
      <c r="E24" s="193"/>
      <c r="F24" s="160">
        <f>G100-F5</f>
        <v>16304.999999999985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2" t="str">
        <f>Назви!A16</f>
        <v>Орієнтовна загальна вартість кредиту, грн.</v>
      </c>
      <c r="C26" s="193">
        <f>Назви!B14</f>
        <v>0</v>
      </c>
      <c r="D26" s="193">
        <f>Назви!C14</f>
        <v>0</v>
      </c>
      <c r="E26" s="194">
        <f>Назви!D14</f>
        <v>0</v>
      </c>
      <c r="F26" s="144">
        <f>F5+F24</f>
        <v>66304.999999999985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2" t="str">
        <f>Назви!A18</f>
        <v>Реальна річна процентна ставка, %</v>
      </c>
      <c r="C28" s="193">
        <f>Назви!B16</f>
        <v>0</v>
      </c>
      <c r="D28" s="193">
        <f>Назви!C16</f>
        <v>0</v>
      </c>
      <c r="E28" s="194">
        <f>Назви!D16</f>
        <v>0</v>
      </c>
      <c r="F28" s="147">
        <f ca="1">XIRR(G39:G87,C39:C87)</f>
        <v>0.71826781034469622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5" t="str">
        <f>Назви!A19</f>
        <v>Інший термін</v>
      </c>
      <c r="C30" s="196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90" t="s">
        <v>32</v>
      </c>
      <c r="C31" s="191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90" t="s">
        <v>33</v>
      </c>
      <c r="C32" s="191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90" t="s">
        <v>9</v>
      </c>
      <c r="C33" s="191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90"/>
      <c r="C34" s="191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00" t="str">
        <f>Назви!A26</f>
        <v xml:space="preserve">ГРАФІК СПЛАТИ КРЕДИТУ </v>
      </c>
      <c r="C37" s="201"/>
      <c r="D37" s="201"/>
      <c r="E37" s="201"/>
      <c r="F37" s="201"/>
      <c r="G37" s="201"/>
      <c r="H37" s="20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3" t="str">
        <f>Назви!A27</f>
        <v>Місяць</v>
      </c>
      <c r="C38" s="20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3" t="str">
        <f>Назви!F27</f>
        <v>Загальна сума внесків до повернення в місяць, грн.</v>
      </c>
      <c r="H38" s="20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45484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45515</v>
      </c>
      <c r="D40" s="19">
        <f>IF(B40&lt;=$F$21,$F$7/$F$21,0)</f>
        <v>4250</v>
      </c>
      <c r="E40" s="20">
        <f>IF(AND(B40&gt;F$13,B40&lt;=$F$21),F$7*F$19,0)</f>
        <v>1275</v>
      </c>
      <c r="F40" s="182">
        <f>IF(B40&lt;=$F$21,F$5*F$9/12,0)</f>
        <v>0.41666666666666669</v>
      </c>
      <c r="G40" s="199">
        <f t="shared" ref="G40:G71" si="0">IF(B$40&lt;=F$21,D40+E40+F40,0)</f>
        <v>5525.416666666667</v>
      </c>
      <c r="H40" s="19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45546</v>
      </c>
      <c r="D41" s="19">
        <f t="shared" ref="D41:D87" si="2">IF(B41&lt;=$F$21,$F$7/$F$21,0)</f>
        <v>4250</v>
      </c>
      <c r="E41" s="20">
        <f t="shared" ref="E41:E99" si="3">IF(AND(B41&gt;F$13,B41&lt;=$F$21),F$7*F$19,0)</f>
        <v>1275</v>
      </c>
      <c r="F41" s="20">
        <f t="shared" ref="F41:F99" si="4">IF(B41&lt;=$F$21,F$5*F$9/12,0)</f>
        <v>0.41666666666666669</v>
      </c>
      <c r="G41" s="199">
        <f t="shared" si="0"/>
        <v>5525.416666666667</v>
      </c>
      <c r="H41" s="19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45576</v>
      </c>
      <c r="D42" s="19">
        <f t="shared" si="2"/>
        <v>4250</v>
      </c>
      <c r="E42" s="20">
        <f t="shared" si="3"/>
        <v>1275</v>
      </c>
      <c r="F42" s="20">
        <f t="shared" si="4"/>
        <v>0.41666666666666669</v>
      </c>
      <c r="G42" s="199">
        <f t="shared" si="0"/>
        <v>5525.416666666667</v>
      </c>
      <c r="H42" s="19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45607</v>
      </c>
      <c r="D43" s="19">
        <f t="shared" si="2"/>
        <v>4250</v>
      </c>
      <c r="E43" s="20">
        <f t="shared" si="3"/>
        <v>1275</v>
      </c>
      <c r="F43" s="20">
        <f t="shared" si="4"/>
        <v>0.41666666666666669</v>
      </c>
      <c r="G43" s="199">
        <f t="shared" si="0"/>
        <v>5525.416666666667</v>
      </c>
      <c r="H43" s="19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45637</v>
      </c>
      <c r="D44" s="19">
        <f t="shared" si="2"/>
        <v>4250</v>
      </c>
      <c r="E44" s="20">
        <f t="shared" si="3"/>
        <v>1275</v>
      </c>
      <c r="F44" s="20">
        <f t="shared" si="4"/>
        <v>0.41666666666666669</v>
      </c>
      <c r="G44" s="199">
        <f t="shared" si="0"/>
        <v>5525.416666666667</v>
      </c>
      <c r="H44" s="19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45668</v>
      </c>
      <c r="D45" s="19">
        <f t="shared" si="2"/>
        <v>4250</v>
      </c>
      <c r="E45" s="20">
        <f t="shared" si="3"/>
        <v>1275</v>
      </c>
      <c r="F45" s="20">
        <f t="shared" si="4"/>
        <v>0.41666666666666669</v>
      </c>
      <c r="G45" s="199">
        <f t="shared" si="0"/>
        <v>5525.416666666667</v>
      </c>
      <c r="H45" s="19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45699</v>
      </c>
      <c r="D46" s="19">
        <f t="shared" si="2"/>
        <v>4250</v>
      </c>
      <c r="E46" s="20">
        <f t="shared" si="3"/>
        <v>1275</v>
      </c>
      <c r="F46" s="20">
        <f t="shared" si="4"/>
        <v>0.41666666666666669</v>
      </c>
      <c r="G46" s="199">
        <f t="shared" si="0"/>
        <v>5525.416666666667</v>
      </c>
      <c r="H46" s="19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45727</v>
      </c>
      <c r="D47" s="19">
        <f t="shared" si="2"/>
        <v>4250</v>
      </c>
      <c r="E47" s="20">
        <f t="shared" si="3"/>
        <v>1275</v>
      </c>
      <c r="F47" s="20">
        <f t="shared" si="4"/>
        <v>0.41666666666666669</v>
      </c>
      <c r="G47" s="199">
        <f t="shared" si="0"/>
        <v>5525.416666666667</v>
      </c>
      <c r="H47" s="19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45758</v>
      </c>
      <c r="D48" s="19">
        <f t="shared" si="2"/>
        <v>4250</v>
      </c>
      <c r="E48" s="20">
        <f t="shared" si="3"/>
        <v>1275</v>
      </c>
      <c r="F48" s="20">
        <f t="shared" si="4"/>
        <v>0.41666666666666669</v>
      </c>
      <c r="G48" s="199">
        <f t="shared" si="0"/>
        <v>5525.416666666667</v>
      </c>
      <c r="H48" s="19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45788</v>
      </c>
      <c r="D49" s="19">
        <f t="shared" si="2"/>
        <v>4250</v>
      </c>
      <c r="E49" s="20">
        <f t="shared" si="3"/>
        <v>1275</v>
      </c>
      <c r="F49" s="20">
        <f t="shared" si="4"/>
        <v>0.41666666666666669</v>
      </c>
      <c r="G49" s="199">
        <f t="shared" si="0"/>
        <v>5525.416666666667</v>
      </c>
      <c r="H49" s="19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45819</v>
      </c>
      <c r="D50" s="19">
        <f t="shared" si="2"/>
        <v>4250</v>
      </c>
      <c r="E50" s="20">
        <f t="shared" si="3"/>
        <v>1275</v>
      </c>
      <c r="F50" s="20">
        <f t="shared" si="4"/>
        <v>0.41666666666666669</v>
      </c>
      <c r="G50" s="199">
        <f t="shared" si="0"/>
        <v>5525.416666666667</v>
      </c>
      <c r="H50" s="19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45849</v>
      </c>
      <c r="D51" s="19">
        <f t="shared" si="2"/>
        <v>4250</v>
      </c>
      <c r="E51" s="20">
        <f t="shared" si="3"/>
        <v>1275</v>
      </c>
      <c r="F51" s="20">
        <f t="shared" si="4"/>
        <v>0.41666666666666669</v>
      </c>
      <c r="G51" s="199">
        <f t="shared" si="0"/>
        <v>5525.416666666667</v>
      </c>
      <c r="H51" s="19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45880</v>
      </c>
      <c r="D52" s="19">
        <f t="shared" si="2"/>
        <v>0</v>
      </c>
      <c r="E52" s="20">
        <f t="shared" si="3"/>
        <v>0</v>
      </c>
      <c r="F52" s="20">
        <f t="shared" si="4"/>
        <v>0</v>
      </c>
      <c r="G52" s="199">
        <f t="shared" si="0"/>
        <v>0</v>
      </c>
      <c r="H52" s="19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45911</v>
      </c>
      <c r="D53" s="19">
        <f t="shared" si="2"/>
        <v>0</v>
      </c>
      <c r="E53" s="20">
        <f t="shared" si="3"/>
        <v>0</v>
      </c>
      <c r="F53" s="20">
        <f t="shared" si="4"/>
        <v>0</v>
      </c>
      <c r="G53" s="199">
        <f t="shared" si="0"/>
        <v>0</v>
      </c>
      <c r="H53" s="19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45941</v>
      </c>
      <c r="D54" s="19">
        <f t="shared" si="2"/>
        <v>0</v>
      </c>
      <c r="E54" s="20">
        <f t="shared" si="3"/>
        <v>0</v>
      </c>
      <c r="F54" s="20">
        <f t="shared" si="4"/>
        <v>0</v>
      </c>
      <c r="G54" s="199">
        <f t="shared" si="0"/>
        <v>0</v>
      </c>
      <c r="H54" s="19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45972</v>
      </c>
      <c r="D55" s="19">
        <f t="shared" si="2"/>
        <v>0</v>
      </c>
      <c r="E55" s="20">
        <f t="shared" si="3"/>
        <v>0</v>
      </c>
      <c r="F55" s="20">
        <f t="shared" si="4"/>
        <v>0</v>
      </c>
      <c r="G55" s="199">
        <f t="shared" si="0"/>
        <v>0</v>
      </c>
      <c r="H55" s="19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46002</v>
      </c>
      <c r="D56" s="19">
        <f t="shared" si="2"/>
        <v>0</v>
      </c>
      <c r="E56" s="20">
        <f t="shared" si="3"/>
        <v>0</v>
      </c>
      <c r="F56" s="20">
        <f t="shared" si="4"/>
        <v>0</v>
      </c>
      <c r="G56" s="199">
        <f t="shared" si="0"/>
        <v>0</v>
      </c>
      <c r="H56" s="19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46033</v>
      </c>
      <c r="D57" s="19">
        <f t="shared" si="2"/>
        <v>0</v>
      </c>
      <c r="E57" s="20">
        <f t="shared" si="3"/>
        <v>0</v>
      </c>
      <c r="F57" s="20">
        <f t="shared" si="4"/>
        <v>0</v>
      </c>
      <c r="G57" s="199">
        <f t="shared" si="0"/>
        <v>0</v>
      </c>
      <c r="H57" s="19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46064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199">
        <f t="shared" si="0"/>
        <v>0</v>
      </c>
      <c r="H58" s="19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46092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199">
        <f t="shared" si="0"/>
        <v>0</v>
      </c>
      <c r="H59" s="19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46123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199">
        <f t="shared" si="0"/>
        <v>0</v>
      </c>
      <c r="H60" s="19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46153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199">
        <f t="shared" si="0"/>
        <v>0</v>
      </c>
      <c r="H61" s="19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46184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199">
        <f t="shared" si="0"/>
        <v>0</v>
      </c>
      <c r="H62" s="19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46214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199">
        <f t="shared" si="0"/>
        <v>0</v>
      </c>
      <c r="H63" s="19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46245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9">
        <f t="shared" si="0"/>
        <v>0</v>
      </c>
      <c r="H64" s="19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46276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9">
        <f t="shared" si="0"/>
        <v>0</v>
      </c>
      <c r="H65" s="19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46306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9">
        <f t="shared" si="0"/>
        <v>0</v>
      </c>
      <c r="H66" s="19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46337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9">
        <f t="shared" si="0"/>
        <v>0</v>
      </c>
      <c r="H67" s="19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46367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9">
        <f t="shared" si="0"/>
        <v>0</v>
      </c>
      <c r="H68" s="19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46398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9">
        <f t="shared" si="0"/>
        <v>0</v>
      </c>
      <c r="H69" s="19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46429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9">
        <f t="shared" si="0"/>
        <v>0</v>
      </c>
      <c r="H70" s="19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46457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9">
        <f t="shared" si="0"/>
        <v>0</v>
      </c>
      <c r="H71" s="19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46488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9">
        <f t="shared" ref="G72:G99" si="5">IF(B$40&lt;=F$21,D72+E72+F72,0)</f>
        <v>0</v>
      </c>
      <c r="H72" s="19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46518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9">
        <f t="shared" si="5"/>
        <v>0</v>
      </c>
      <c r="H73" s="19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46549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9">
        <f t="shared" si="5"/>
        <v>0</v>
      </c>
      <c r="H74" s="19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46579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9">
        <f t="shared" si="5"/>
        <v>0</v>
      </c>
      <c r="H75" s="19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46610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9">
        <f t="shared" si="5"/>
        <v>0</v>
      </c>
      <c r="H76" s="19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46641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9">
        <f t="shared" si="5"/>
        <v>0</v>
      </c>
      <c r="H77" s="19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46671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9">
        <f t="shared" si="5"/>
        <v>0</v>
      </c>
      <c r="H78" s="19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46702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9">
        <f t="shared" si="5"/>
        <v>0</v>
      </c>
      <c r="H79" s="19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46732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9">
        <f t="shared" si="5"/>
        <v>0</v>
      </c>
      <c r="H80" s="19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46763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9">
        <f t="shared" si="5"/>
        <v>0</v>
      </c>
      <c r="H81" s="19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46794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9">
        <f t="shared" si="5"/>
        <v>0</v>
      </c>
      <c r="H82" s="19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46823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9">
        <f t="shared" si="5"/>
        <v>0</v>
      </c>
      <c r="H83" s="19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46854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9">
        <f t="shared" si="5"/>
        <v>0</v>
      </c>
      <c r="H84" s="19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46884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9">
        <f t="shared" si="5"/>
        <v>0</v>
      </c>
      <c r="H85" s="19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46915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9">
        <f t="shared" si="5"/>
        <v>0</v>
      </c>
      <c r="H86" s="19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46945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9">
        <f t="shared" si="5"/>
        <v>0</v>
      </c>
      <c r="H87" s="19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46976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7">
        <f t="shared" si="5"/>
        <v>0</v>
      </c>
      <c r="H88" s="208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47007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47037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47068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47098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47129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47160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47188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47219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47249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47280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47310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05" t="s">
        <v>1</v>
      </c>
      <c r="C100" s="206"/>
      <c r="D100" s="93">
        <f>SUM(D40:D99)</f>
        <v>51000</v>
      </c>
      <c r="E100" s="93">
        <f>SUM(E40:E99)</f>
        <v>15300</v>
      </c>
      <c r="F100" s="99">
        <f>SUM(F40:F99)</f>
        <v>5</v>
      </c>
      <c r="G100" s="212">
        <f>SUM(G40:H99)</f>
        <v>66304.999999999985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1" t="s">
        <v>6</v>
      </c>
      <c r="F102" s="211"/>
      <c r="G102" s="211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4kfIYPDFuthVzfk5G9zv/Sl2MsCItkUg7UOi05FgK6CZiGMO84YnOqZRqySkWaOp97GDf9vIbb0wK4fZoyfrLg==" saltValue="NjqSZeQ6/ocCXSBOqSgNW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$L$7:$L$13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7" t="s">
        <v>16</v>
      </c>
      <c r="B1" s="248"/>
      <c r="C1" s="248"/>
      <c r="D1" s="24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2" t="s">
        <v>44</v>
      </c>
      <c r="B3" s="243">
        <v>0</v>
      </c>
      <c r="C3" s="243">
        <v>0</v>
      </c>
      <c r="D3" s="24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2" t="s">
        <v>45</v>
      </c>
      <c r="B5" s="243">
        <v>0</v>
      </c>
      <c r="C5" s="243">
        <v>0</v>
      </c>
      <c r="D5" s="24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2" t="s">
        <v>46</v>
      </c>
      <c r="B7" s="243">
        <v>0</v>
      </c>
      <c r="C7" s="243">
        <v>0</v>
      </c>
      <c r="D7" s="24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2" t="s">
        <v>158</v>
      </c>
      <c r="B9" s="243"/>
      <c r="C9" s="243"/>
      <c r="D9" s="24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2" t="s">
        <v>157</v>
      </c>
      <c r="B12" s="243">
        <v>0</v>
      </c>
      <c r="C12" s="243">
        <v>0</v>
      </c>
      <c r="D12" s="24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2" t="s">
        <v>47</v>
      </c>
      <c r="B14" s="243">
        <v>0</v>
      </c>
      <c r="C14" s="243">
        <v>0</v>
      </c>
      <c r="D14" s="24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2" t="s">
        <v>156</v>
      </c>
      <c r="B16" s="243">
        <v>0</v>
      </c>
      <c r="C16" s="243">
        <v>0</v>
      </c>
      <c r="D16" s="24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5" t="s">
        <v>8</v>
      </c>
      <c r="B19" s="24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50" t="s">
        <v>20</v>
      </c>
      <c r="B20" s="251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50" t="s">
        <v>9</v>
      </c>
      <c r="B21" s="251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50" t="s">
        <v>18</v>
      </c>
      <c r="B22" s="251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50" t="s">
        <v>19</v>
      </c>
      <c r="B23" s="251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3" t="s">
        <v>30</v>
      </c>
      <c r="B26" s="254"/>
      <c r="C26" s="254"/>
      <c r="D26" s="254"/>
      <c r="E26" s="254"/>
      <c r="F26" s="254"/>
      <c r="G26" s="255"/>
    </row>
    <row r="27" spans="1:8" ht="45.75" thickBot="1" x14ac:dyDescent="0.25">
      <c r="A27" s="256" t="s">
        <v>2</v>
      </c>
      <c r="B27" s="257"/>
      <c r="C27" s="83" t="s">
        <v>4</v>
      </c>
      <c r="D27" s="83" t="s">
        <v>17</v>
      </c>
      <c r="E27" s="83" t="s">
        <v>5</v>
      </c>
      <c r="F27" s="258" t="s">
        <v>3</v>
      </c>
      <c r="G27" s="259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2"/>
      <c r="E29" s="252"/>
      <c r="F29" s="252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zoomScale="85" zoomScaleNormal="85" workbookViewId="0">
      <selection activeCell="I19" sqref="I19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85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85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85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 t="shared" ref="G4:G9" si="0">I$2&amp;" "&amp;B4&amp;" "&amp;H$2</f>
        <v>max. 196078,43 грн.</v>
      </c>
      <c r="H4" s="184">
        <f>B4+B4*K4</f>
        <v>199999.99859999999</v>
      </c>
      <c r="I4" s="151">
        <v>0</v>
      </c>
      <c r="K4" s="186">
        <v>0.02</v>
      </c>
      <c r="L4" s="153">
        <f t="shared" ref="L4" si="1">D4/12/(1-1/POWER(1+D4/12,C4))*H4+H4*F4</f>
        <v>21667.569306479203</v>
      </c>
      <c r="M4" s="154">
        <f t="shared" ref="M4:M9" si="2"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 t="shared" si="0"/>
        <v>max. 196078,43 грн.</v>
      </c>
      <c r="H5" s="184">
        <f t="shared" ref="H5:H7" si="3">B5+B5*K5</f>
        <v>199999.99859999999</v>
      </c>
      <c r="I5" s="151">
        <v>0</v>
      </c>
      <c r="K5" s="186">
        <v>0.02</v>
      </c>
      <c r="L5" s="153">
        <f t="shared" ref="L5:L7" si="4">D5/12/(1-1/POWER(1+D5/12,C5))*H5+H5*F5</f>
        <v>13334.201323234782</v>
      </c>
      <c r="M5" s="154">
        <f t="shared" si="2"/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 t="shared" si="0"/>
        <v>max. 196078,43 грн.</v>
      </c>
      <c r="H6" s="184">
        <f t="shared" si="3"/>
        <v>199999.99859999999</v>
      </c>
      <c r="I6" s="151">
        <v>0</v>
      </c>
      <c r="J6" s="151"/>
      <c r="K6" s="186">
        <v>0.02</v>
      </c>
      <c r="L6" s="153">
        <f t="shared" si="4"/>
        <v>10556.412004747373</v>
      </c>
      <c r="M6" s="154">
        <f t="shared" si="2"/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166</v>
      </c>
      <c r="B7" s="121">
        <v>75000</v>
      </c>
      <c r="C7" s="151">
        <v>12</v>
      </c>
      <c r="D7" s="152">
        <v>1E-4</v>
      </c>
      <c r="E7" s="152">
        <v>0</v>
      </c>
      <c r="F7" s="152">
        <v>4.99E-2</v>
      </c>
      <c r="G7" s="151" t="str">
        <f t="shared" si="0"/>
        <v>max. 75000 грн.</v>
      </c>
      <c r="H7" s="184">
        <f t="shared" si="3"/>
        <v>75000</v>
      </c>
      <c r="I7" s="151">
        <v>3</v>
      </c>
      <c r="K7" s="186">
        <v>0</v>
      </c>
      <c r="L7" s="153">
        <f t="shared" si="4"/>
        <v>9992.8385468070719</v>
      </c>
      <c r="M7" s="154">
        <f t="shared" si="2"/>
        <v>4.99E-2</v>
      </c>
      <c r="N7" s="154"/>
      <c r="O7" s="155">
        <v>0</v>
      </c>
      <c r="P7" s="151">
        <v>1000</v>
      </c>
    </row>
    <row r="8" spans="1:16" s="151" customFormat="1" x14ac:dyDescent="0.2">
      <c r="A8" s="151" t="s">
        <v>165</v>
      </c>
      <c r="B8" s="121">
        <v>71428.570000000007</v>
      </c>
      <c r="C8" s="151">
        <v>12</v>
      </c>
      <c r="D8" s="152">
        <v>1E-4</v>
      </c>
      <c r="E8" s="152">
        <v>0</v>
      </c>
      <c r="F8" s="152">
        <v>4.99E-2</v>
      </c>
      <c r="G8" s="151" t="str">
        <f t="shared" ref="G8:G10" si="5">I$2&amp;" "&amp;B8&amp;" "&amp;H$2</f>
        <v>max. 71428,57 грн.</v>
      </c>
      <c r="H8" s="184">
        <f t="shared" ref="H8:H10" si="6">B8+B8*K8</f>
        <v>74999.998500000002</v>
      </c>
      <c r="I8" s="151">
        <v>5</v>
      </c>
      <c r="K8" s="186">
        <v>0.05</v>
      </c>
      <c r="L8" s="153">
        <f t="shared" ref="L8:L10" si="7">D8/12/(1-1/POWER(1+D8/12,C8))*H8+H8*F8</f>
        <v>9992.8383469503005</v>
      </c>
      <c r="M8" s="154">
        <f t="shared" ref="M8:M10" si="8">F8</f>
        <v>4.99E-2</v>
      </c>
      <c r="N8" s="154"/>
      <c r="O8" s="155">
        <v>0</v>
      </c>
      <c r="P8" s="151">
        <v>1000</v>
      </c>
    </row>
    <row r="9" spans="1:16" x14ac:dyDescent="0.2">
      <c r="A9" s="151" t="s">
        <v>163</v>
      </c>
      <c r="B9" s="121">
        <v>73891.63</v>
      </c>
      <c r="C9" s="151">
        <v>12</v>
      </c>
      <c r="D9" s="152">
        <v>1E-4</v>
      </c>
      <c r="E9" s="152">
        <v>0</v>
      </c>
      <c r="F9" s="152">
        <v>4.99E-2</v>
      </c>
      <c r="G9" s="151" t="str">
        <f t="shared" si="5"/>
        <v>max. 73891,63 грн.</v>
      </c>
      <c r="H9" s="184">
        <f t="shared" si="6"/>
        <v>75000.004450000008</v>
      </c>
      <c r="I9" s="151">
        <v>6</v>
      </c>
      <c r="J9" s="151"/>
      <c r="K9" s="186">
        <v>1.4999999999999999E-2</v>
      </c>
      <c r="L9" s="153">
        <f t="shared" si="7"/>
        <v>9992.8391397154937</v>
      </c>
      <c r="M9" s="154">
        <f t="shared" si="8"/>
        <v>4.99E-2</v>
      </c>
      <c r="N9" s="154"/>
      <c r="O9" s="155">
        <v>0</v>
      </c>
      <c r="P9" s="151">
        <v>1000</v>
      </c>
    </row>
    <row r="10" spans="1:16" x14ac:dyDescent="0.2">
      <c r="A10" s="151" t="s">
        <v>164</v>
      </c>
      <c r="B10" s="121">
        <v>67567.570000000007</v>
      </c>
      <c r="C10" s="151">
        <v>24</v>
      </c>
      <c r="D10" s="152">
        <v>1E-4</v>
      </c>
      <c r="E10" s="152">
        <v>0</v>
      </c>
      <c r="F10" s="152">
        <v>4.99E-2</v>
      </c>
      <c r="G10" s="151" t="str">
        <f t="shared" si="5"/>
        <v>max. 67567,57 грн.</v>
      </c>
      <c r="H10" s="184">
        <f t="shared" si="6"/>
        <v>75000.002700000012</v>
      </c>
      <c r="I10" s="151">
        <v>9</v>
      </c>
      <c r="J10" s="151"/>
      <c r="K10" s="186">
        <v>0.11</v>
      </c>
      <c r="L10" s="153">
        <f t="shared" si="7"/>
        <v>6867.8257784570424</v>
      </c>
      <c r="M10" s="154">
        <f t="shared" si="8"/>
        <v>4.99E-2</v>
      </c>
      <c r="N10" s="154"/>
      <c r="O10" s="155">
        <v>0</v>
      </c>
      <c r="P10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Інновації XXI ст.</vt:lpstr>
      <vt:lpstr>Перелік партнерів</vt:lpstr>
      <vt:lpstr>Назви</vt:lpstr>
      <vt:lpstr>Лист2</vt:lpstr>
      <vt:lpstr>'NST Ідея_ТзОВ Інновації XXI ст.'!Область_друку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2024-07-11T05:47:37Z</dcterms:modified>
</cp:coreProperties>
</file>