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32F3D762-3E0A-4C78-929D-255CDDF774B8}" xr6:coauthVersionLast="47" xr6:coauthVersionMax="47" xr10:uidLastSave="{00000000-0000-0000-0000-000000000000}"/>
  <workbookProtection workbookAlgorithmName="SHA-512" workbookHashValue="/AWQhqCajREeKJCCl2PyuJZpU76jpZuV6Fze8D3nXyzJeTDIaj4y076D5/Jpw0OON7EGgUCSUw0VeOz4AvtsRg==" workbookSaltValue="gHEYGsi9uWKYE4VioP4rWA==" workbookSpinCount="100000" lockStructure="1"/>
  <bookViews>
    <workbookView xWindow="-120" yWindow="-120" windowWidth="29040" windowHeight="15990" tabRatio="831" xr2:uid="{00000000-000D-0000-FFFF-FFFF00000000}"/>
  </bookViews>
  <sheets>
    <sheet name="Мобільний_Тріум" sheetId="189" r:id="rId1"/>
    <sheet name="Лист2" sheetId="165" state="hidden" r:id="rId2"/>
    <sheet name="Назви" sheetId="161" state="hidden" r:id="rId3"/>
  </sheets>
  <definedNames>
    <definedName name="_xlnm._FilterDatabase" localSheetId="0" hidden="1">Мобільний_Тріум!$A$27:$H$89</definedName>
    <definedName name="_xlnm.Print_Area" localSheetId="0">Мобільний_Тріум!$A$1:$L$92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4" i="189" l="1"/>
  <c r="H4" i="165"/>
  <c r="K4" i="165" s="1"/>
  <c r="G4" i="165"/>
  <c r="G27" i="189" l="1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F23" i="161" s="1"/>
  <c r="E23" i="161"/>
  <c r="C24" i="161"/>
  <c r="H24" i="161" s="1"/>
  <c r="D24" i="161"/>
  <c r="G24" i="161" s="1"/>
  <c r="E24" i="161"/>
  <c r="F24" i="161"/>
  <c r="G23" i="161" l="1"/>
  <c r="G22" i="161"/>
  <c r="G21" i="161"/>
</calcChain>
</file>

<file path=xl/sharedStrings.xml><?xml version="1.0" encoding="utf-8"?>
<sst xmlns="http://schemas.openxmlformats.org/spreadsheetml/2006/main" count="52" uniqueCount="47">
  <si>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</si>
  <si>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</si>
  <si>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</si>
  <si>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</si>
  <si>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</si>
  <si>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</si>
  <si>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</si>
  <si>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</si>
  <si>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</si>
  <si>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</si>
  <si>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</si>
  <si>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</si>
  <si>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</si>
  <si>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</si>
  <si>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</si>
  <si>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</si>
  <si>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</si>
  <si>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</si>
  <si>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</si>
  <si>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</si>
  <si>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</si>
  <si>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</si>
  <si>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</si>
  <si>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</si>
  <si>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</si>
  <si>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</si>
  <si>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</si>
  <si>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</si>
  <si>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</si>
  <si>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</si>
  <si>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</si>
  <si>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</si>
  <si>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</si>
  <si>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</si>
  <si>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</si>
  <si>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</si>
  <si>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</si>
  <si>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</si>
  <si>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</si>
  <si>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</si>
  <si>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</si>
  <si>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</si>
  <si>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</si>
  <si>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</si>
  <si>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</si>
  <si>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</si>
  <si>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Мобільний_Тріум_36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</si>
</sst>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10" fontId="16" fillId="0" borderId="0" xfId="23" applyNumberFormat="1" applyFont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4" fontId="16" fillId="0" borderId="1" xfId="23" applyNumberFormat="1" applyFont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4" xfId="23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514078</xdr:colOff>
      <xdr:row>3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7165" y="270510"/>
          <a:ext cx="2112373" cy="33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3</xdr:col>
      <xdr:colOff>580753</xdr:colOff>
      <xdr:row>3</xdr:row>
      <xdr:rowOff>47625</xdr:rowOff>
    </xdr:to>
    <xdr:pic>
      <xdr:nvPicPr>
        <xdr:cNvPr id="3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260985"/>
          <a:ext cx="2213338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00B05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21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44" t="s">
        <v>40</v>
      </c>
      <c r="I1" s="144"/>
    </row>
    <row r="2" spans="1:29" ht="12.75" customHeight="1" x14ac:dyDescent="0.2">
      <c r="A2" s="2"/>
      <c r="B2" s="50"/>
      <c r="C2" s="50"/>
      <c r="D2" s="50"/>
      <c r="E2" s="108">
        <f>VLOOKUP(Мобільний_Тріум!H2,Лист2!A:N,14,FALSE)</f>
        <v>1000</v>
      </c>
      <c r="F2" s="100">
        <f>VLOOKUP(H$2,Лист2!$A:$G,2,0)</f>
        <v>250000</v>
      </c>
      <c r="G2" s="116">
        <f ca="1">TODAY()</f>
        <v>45516</v>
      </c>
      <c r="H2" s="145" t="s">
        <v>46</v>
      </c>
      <c r="I2" s="146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50000</v>
      </c>
      <c r="F3" s="147" t="str">
        <f>IF(E3="x","Збільшіть суму",IF(E3="y","Зменшіть суму",""))</f>
        <v/>
      </c>
      <c r="G3" s="57">
        <f>Назви!B33</f>
        <v>30.4</v>
      </c>
      <c r="H3" s="148" t="str">
        <f>VLOOKUP(H$2,Лист2!$A:$G,7,0)</f>
        <v>max. 250000 грн.</v>
      </c>
      <c r="I3" s="149"/>
      <c r="J3" s="42"/>
    </row>
    <row r="4" spans="1:29" ht="9" customHeight="1" thickBot="1" x14ac:dyDescent="0.25">
      <c r="A4" s="2"/>
      <c r="B4" s="2"/>
      <c r="C4" s="2"/>
      <c r="D4" s="2"/>
      <c r="E4" s="108"/>
      <c r="F4" s="147"/>
      <c r="G4" s="35"/>
      <c r="H4" s="124"/>
      <c r="I4" s="42"/>
      <c r="J4" s="42"/>
      <c r="K4" s="54"/>
    </row>
    <row r="5" spans="1:29" ht="21" customHeight="1" thickBot="1" x14ac:dyDescent="0.25">
      <c r="A5" s="1"/>
      <c r="B5" s="150" t="s">
        <v>45</v>
      </c>
      <c r="C5" s="151"/>
      <c r="D5" s="151"/>
      <c r="E5" s="152"/>
      <c r="F5" s="134">
        <v>50000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hidden="1" customHeight="1" x14ac:dyDescent="0.2">
      <c r="A7" s="1"/>
      <c r="B7" s="141" t="s">
        <v>41</v>
      </c>
      <c r="C7" s="142"/>
      <c r="D7" s="142"/>
      <c r="E7" s="143"/>
      <c r="F7" s="13">
        <f>D89</f>
        <v>50000.000000000015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41" t="str">
        <f>Назви!A3</f>
        <v>Процентна ставка, % річних</v>
      </c>
      <c r="C9" s="142">
        <f>Назви!B3</f>
        <v>0</v>
      </c>
      <c r="D9" s="142">
        <f>Назви!C3</f>
        <v>0</v>
      </c>
      <c r="E9" s="143">
        <f>Назви!D3</f>
        <v>0</v>
      </c>
      <c r="F9" s="32">
        <f>VLOOKUP(H$2,Лист2!$A:$G,4,0)</f>
        <v>0.89</v>
      </c>
      <c r="G9" s="153"/>
      <c r="H9" s="153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41" t="str">
        <f>Назви!A5</f>
        <v>Разовий страховий тариф, %</v>
      </c>
      <c r="C11" s="142">
        <f>Назви!B5</f>
        <v>0</v>
      </c>
      <c r="D11" s="142">
        <f>Назви!C5</f>
        <v>0</v>
      </c>
      <c r="E11" s="143">
        <f>Назви!D5</f>
        <v>0</v>
      </c>
      <c r="F11" s="32">
        <f>VLOOKUP(H$2,Лист2!$A:$G,5,0)</f>
        <v>0</v>
      </c>
      <c r="G11" s="153"/>
      <c r="H11" s="153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29" x14ac:dyDescent="0.2">
      <c r="A13" s="1"/>
      <c r="B13" s="141" t="str">
        <f>Назви!A7</f>
        <v xml:space="preserve">Щомісячна плата за обслуговування кредитної заборгованості, % </v>
      </c>
      <c r="C13" s="142">
        <f>Назви!B7</f>
        <v>0</v>
      </c>
      <c r="D13" s="142">
        <f>Назви!C7</f>
        <v>0</v>
      </c>
      <c r="E13" s="143">
        <f>Назви!D7</f>
        <v>0</v>
      </c>
      <c r="F13" s="32">
        <f>VLOOKUP(H$2,Лист2!$A:$G,6,0)</f>
        <v>0</v>
      </c>
      <c r="G13" s="153"/>
      <c r="H13" s="153"/>
      <c r="I13" s="3"/>
      <c r="J13" s="43"/>
      <c r="K13" s="113"/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Лист2!A4</f>
        <v>Мобільний_Тріум_36 міс.</v>
      </c>
    </row>
    <row r="15" spans="1:29" x14ac:dyDescent="0.2">
      <c r="A15" s="1"/>
      <c r="B15" s="141" t="str">
        <f>Назви!A9</f>
        <v>Термін кредитування (міс.)</v>
      </c>
      <c r="C15" s="142">
        <f>Назви!B9</f>
        <v>0</v>
      </c>
      <c r="D15" s="142">
        <f>Назви!C9</f>
        <v>0</v>
      </c>
      <c r="E15" s="143">
        <f>Назви!D9</f>
        <v>0</v>
      </c>
      <c r="F15" s="53">
        <f>VLOOKUP(H$2,Лист2!$A:$G,3,0)</f>
        <v>36</v>
      </c>
      <c r="G15" s="153"/>
      <c r="H15" s="153"/>
      <c r="I15" s="3"/>
      <c r="J15" s="43"/>
      <c r="K15" s="113"/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50000</v>
      </c>
      <c r="F17" s="50"/>
      <c r="G17" s="96"/>
      <c r="H17" s="11"/>
      <c r="I17" s="1"/>
      <c r="J17" s="99"/>
      <c r="K17" s="113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4" t="str">
        <f>Назви!A12</f>
        <v>Орієнтовний платіж, грн.</v>
      </c>
      <c r="C18" s="155">
        <f>Назви!B12</f>
        <v>0</v>
      </c>
      <c r="D18" s="155">
        <f>Назви!C12</f>
        <v>0</v>
      </c>
      <c r="E18" s="156">
        <f>Назви!D12</f>
        <v>0</v>
      </c>
      <c r="F18" s="13">
        <f>PMT(F9/12,F15,-E17)+F13*E17</f>
        <v>4013.8089346329584</v>
      </c>
      <c r="G18" s="157"/>
      <c r="H18" s="158"/>
      <c r="I18" s="105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4" t="str">
        <f>Назви!A14</f>
        <v>Орієнтовні загальні витрати за кредитом, грн.</v>
      </c>
      <c r="C20" s="155">
        <f>Назви!B14</f>
        <v>0</v>
      </c>
      <c r="D20" s="155">
        <f>Назви!C14</f>
        <v>0</v>
      </c>
      <c r="E20" s="156">
        <f>Назви!D14</f>
        <v>0</v>
      </c>
      <c r="F20" s="13">
        <f>G89-E3</f>
        <v>94497.121646786487</v>
      </c>
      <c r="G20" s="159"/>
      <c r="H20" s="159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4" t="str">
        <f>Назви!A16</f>
        <v>Орієнтовна загальна вартість кредиту, грн.</v>
      </c>
      <c r="C22" s="155">
        <f>Назви!B16</f>
        <v>0</v>
      </c>
      <c r="D22" s="155">
        <f>Назви!C16</f>
        <v>0</v>
      </c>
      <c r="E22" s="156">
        <f>Назви!D16</f>
        <v>0</v>
      </c>
      <c r="F22" s="13">
        <f>E3+F20</f>
        <v>144497.12164678649</v>
      </c>
      <c r="G22" s="153"/>
      <c r="H22" s="153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4" t="str">
        <f>Назви!A18</f>
        <v>Орієнтовна реальна річна процентна ставка, %</v>
      </c>
      <c r="C24" s="155"/>
      <c r="D24" s="155"/>
      <c r="E24" s="156"/>
      <c r="F24" s="32">
        <f ca="1">XIRR(G28:G88,C28:C88)</f>
        <v>1.3584750294685362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61" t="str">
        <f>Назви!A27</f>
        <v>Орієнтовний порядок повернення кредиту</v>
      </c>
      <c r="C26" s="162"/>
      <c r="D26" s="162"/>
      <c r="E26" s="162"/>
      <c r="F26" s="162"/>
      <c r="G26" s="162"/>
      <c r="H26" s="163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64" t="str">
        <f>Назви!F28</f>
        <v>Сума платежу за розрахунковий період, грн.</v>
      </c>
      <c r="H27" s="165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45516</v>
      </c>
      <c r="D28" s="92"/>
      <c r="E28" s="93"/>
      <c r="F28" s="92"/>
      <c r="G28" s="166">
        <f>-1*E3</f>
        <v>-50000</v>
      </c>
      <c r="H28" s="167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45547</v>
      </c>
      <c r="D29" s="129">
        <f>IFERROR(PPMT($F$9/12,B29,$F$15,-$E$3),0)</f>
        <v>305.4756012996246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3708.3333333333335</v>
      </c>
      <c r="G29" s="160">
        <f>SUM(D29:F29)</f>
        <v>4013.808934632958</v>
      </c>
      <c r="H29" s="160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45577</v>
      </c>
      <c r="D30" s="129">
        <f t="shared" ref="D30:D88" si="1">IFERROR(PPMT($F$9/12,B30,$F$15,-$E$3),0)</f>
        <v>328.13170839601332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3685.677226236945</v>
      </c>
      <c r="G30" s="160">
        <f t="shared" ref="G30:G88" si="3">SUM(D30:F30)</f>
        <v>4013.8089346329584</v>
      </c>
      <c r="H30" s="160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45608</v>
      </c>
      <c r="D31" s="129">
        <f t="shared" si="1"/>
        <v>352.46814343538426</v>
      </c>
      <c r="E31" s="140">
        <f>IF(B31&lt;=$F$15,(E$17*(VLOOKUP($H$2,Лист2!$A:$N,12,0)-(B31-1)*VLOOKUP($H$2,Лист2!$A:$N,13,0))),0)</f>
        <v>0</v>
      </c>
      <c r="F31" s="130">
        <f t="shared" si="2"/>
        <v>3661.3407911975742</v>
      </c>
      <c r="G31" s="160">
        <f t="shared" si="3"/>
        <v>4013.8089346329584</v>
      </c>
      <c r="H31" s="160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45638</v>
      </c>
      <c r="D32" s="129">
        <f t="shared" si="1"/>
        <v>378.60953074017527</v>
      </c>
      <c r="E32" s="140">
        <f>IF(B32&lt;=$F$15,(E$17*(VLOOKUP($H$2,Лист2!$A:$N,12,0)-(B32-1)*VLOOKUP($H$2,Лист2!$A:$N,13,0))),0)</f>
        <v>0</v>
      </c>
      <c r="F32" s="130">
        <f t="shared" si="2"/>
        <v>3635.1994038927833</v>
      </c>
      <c r="G32" s="160">
        <f t="shared" si="3"/>
        <v>4013.8089346329584</v>
      </c>
      <c r="H32" s="160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45669</v>
      </c>
      <c r="D33" s="129">
        <f t="shared" si="1"/>
        <v>406.68973760340504</v>
      </c>
      <c r="E33" s="140">
        <f>IF(B33&lt;=$F$15,(E$17*(VLOOKUP($H$2,Лист2!$A:$N,12,0)-(B33-1)*VLOOKUP($H$2,Лист2!$A:$N,13,0))),0)</f>
        <v>0</v>
      </c>
      <c r="F33" s="130">
        <f t="shared" si="2"/>
        <v>3607.1191970295531</v>
      </c>
      <c r="G33" s="160">
        <f t="shared" si="3"/>
        <v>4013.808934632958</v>
      </c>
      <c r="H33" s="160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45700</v>
      </c>
      <c r="D34" s="129">
        <f t="shared" si="1"/>
        <v>436.85255980899092</v>
      </c>
      <c r="E34" s="140">
        <f>IF(B34&lt;=$F$15,(E$17*(VLOOKUP($H$2,Лист2!$A:$N,12,0)-(B34-1)*VLOOKUP($H$2,Лист2!$A:$N,13,0))),0)</f>
        <v>0</v>
      </c>
      <c r="F34" s="130">
        <f t="shared" si="2"/>
        <v>3576.9563748239671</v>
      </c>
      <c r="G34" s="160">
        <f t="shared" si="3"/>
        <v>4013.808934632958</v>
      </c>
      <c r="H34" s="160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45728</v>
      </c>
      <c r="D35" s="129">
        <f t="shared" si="1"/>
        <v>469.25245799482445</v>
      </c>
      <c r="E35" s="140">
        <f>IF(B35&lt;=$F$15,(E$17*(VLOOKUP($H$2,Лист2!$A:$N,12,0)-(B35-1)*VLOOKUP($H$2,Лист2!$A:$N,13,0))),0)</f>
        <v>0</v>
      </c>
      <c r="F35" s="130">
        <f t="shared" si="2"/>
        <v>3544.5564766381335</v>
      </c>
      <c r="G35" s="160">
        <f t="shared" si="3"/>
        <v>4013.808934632958</v>
      </c>
      <c r="H35" s="160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45759</v>
      </c>
      <c r="D36" s="129">
        <f t="shared" si="1"/>
        <v>504.05534862944069</v>
      </c>
      <c r="E36" s="140">
        <f>IF(B36&lt;=$F$15,(E$17*(VLOOKUP($H$2,Лист2!$A:$N,12,0)-(B36-1)*VLOOKUP($H$2,Лист2!$A:$N,13,0))),0)</f>
        <v>0</v>
      </c>
      <c r="F36" s="130">
        <f t="shared" si="2"/>
        <v>3509.7535860035177</v>
      </c>
      <c r="G36" s="160">
        <f t="shared" si="3"/>
        <v>4013.8089346329584</v>
      </c>
      <c r="H36" s="160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45789</v>
      </c>
      <c r="D37" s="129">
        <f t="shared" si="1"/>
        <v>541.43945365279058</v>
      </c>
      <c r="E37" s="140">
        <f>IF(B37&lt;=$F$15,(E$17*(VLOOKUP($H$2,Лист2!$A:$N,12,0)-(B37-1)*VLOOKUP($H$2,Лист2!$A:$N,13,0))),0)</f>
        <v>0</v>
      </c>
      <c r="F37" s="130">
        <f t="shared" si="2"/>
        <v>3472.3694809801677</v>
      </c>
      <c r="G37" s="160">
        <f t="shared" si="3"/>
        <v>4013.8089346329584</v>
      </c>
      <c r="H37" s="160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45820</v>
      </c>
      <c r="D38" s="129">
        <f t="shared" si="1"/>
        <v>581.59621313203934</v>
      </c>
      <c r="E38" s="140">
        <f>IF(B38&lt;=$F$15,(E$17*(VLOOKUP($H$2,Лист2!$A:$N,12,0)-(B38-1)*VLOOKUP($H$2,Лист2!$A:$N,13,0))),0)</f>
        <v>0</v>
      </c>
      <c r="F38" s="130">
        <f t="shared" si="2"/>
        <v>3432.2127215009191</v>
      </c>
      <c r="G38" s="160">
        <f t="shared" si="3"/>
        <v>4013.8089346329584</v>
      </c>
      <c r="H38" s="160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45850</v>
      </c>
      <c r="D39" s="129">
        <f t="shared" si="1"/>
        <v>624.73126560599894</v>
      </c>
      <c r="E39" s="140">
        <f>IF(B39&lt;=$F$15,(E$17*(VLOOKUP($H$2,Лист2!$A:$N,12,0)-(B39-1)*VLOOKUP($H$2,Лист2!$A:$N,13,0))),0)</f>
        <v>0</v>
      </c>
      <c r="F39" s="130">
        <f t="shared" si="2"/>
        <v>3389.0776690269595</v>
      </c>
      <c r="G39" s="160">
        <f t="shared" si="3"/>
        <v>4013.8089346329584</v>
      </c>
      <c r="H39" s="160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45881</v>
      </c>
      <c r="D40" s="129">
        <f t="shared" si="1"/>
        <v>671.06550113844378</v>
      </c>
      <c r="E40" s="140">
        <f>IF(B40&lt;=$F$15,(E$17*(VLOOKUP($H$2,Лист2!$A:$N,12,0)-(B40-1)*VLOOKUP($H$2,Лист2!$A:$N,13,0))),0)</f>
        <v>0</v>
      </c>
      <c r="F40" s="130">
        <f t="shared" si="2"/>
        <v>3342.7434334945146</v>
      </c>
      <c r="G40" s="160">
        <f t="shared" si="3"/>
        <v>4013.8089346329584</v>
      </c>
      <c r="H40" s="160"/>
      <c r="I40" s="3"/>
    </row>
    <row r="41" spans="1:11" x14ac:dyDescent="0.2">
      <c r="A41" s="1">
        <v>13</v>
      </c>
      <c r="B41" s="101">
        <v>13</v>
      </c>
      <c r="C41" s="138">
        <f t="shared" ca="1" si="0"/>
        <v>45912</v>
      </c>
      <c r="D41" s="129">
        <f t="shared" si="1"/>
        <v>720.83619247287857</v>
      </c>
      <c r="E41" s="140">
        <f>IF(B41&lt;=$F$15,(E$17*(VLOOKUP($H$2,Лист2!$A:$N,12,0)-(B41-1)*VLOOKUP($H$2,Лист2!$A:$N,13,0))),0)</f>
        <v>0</v>
      </c>
      <c r="F41" s="130">
        <f t="shared" si="2"/>
        <v>3292.9727421600796</v>
      </c>
      <c r="G41" s="160">
        <f t="shared" si="3"/>
        <v>4013.808934632958</v>
      </c>
      <c r="H41" s="160"/>
      <c r="I41" s="3"/>
    </row>
    <row r="42" spans="1:11" x14ac:dyDescent="0.2">
      <c r="A42" s="1">
        <v>14</v>
      </c>
      <c r="B42" s="101">
        <v>14</v>
      </c>
      <c r="C42" s="138">
        <f t="shared" ca="1" si="0"/>
        <v>45942</v>
      </c>
      <c r="D42" s="129">
        <f t="shared" si="1"/>
        <v>774.29821008128351</v>
      </c>
      <c r="E42" s="140">
        <f>IF(B42&lt;=$F$15,(E$17*(VLOOKUP($H$2,Лист2!$A:$N,12,0)-(B42-1)*VLOOKUP($H$2,Лист2!$A:$N,13,0))),0)</f>
        <v>0</v>
      </c>
      <c r="F42" s="130">
        <f t="shared" si="2"/>
        <v>3239.5107245516742</v>
      </c>
      <c r="G42" s="160">
        <f t="shared" si="3"/>
        <v>4013.808934632958</v>
      </c>
      <c r="H42" s="160"/>
      <c r="I42" s="3"/>
    </row>
    <row r="43" spans="1:11" x14ac:dyDescent="0.2">
      <c r="A43" s="1">
        <v>15</v>
      </c>
      <c r="B43" s="101">
        <v>15</v>
      </c>
      <c r="C43" s="138">
        <f t="shared" ca="1" si="0"/>
        <v>45973</v>
      </c>
      <c r="D43" s="129">
        <f t="shared" si="1"/>
        <v>831.72532732897878</v>
      </c>
      <c r="E43" s="140">
        <f>IF(B43&lt;=$F$15,(E$17*(VLOOKUP($H$2,Лист2!$A:$N,12,0)-(B43-1)*VLOOKUP($H$2,Лист2!$A:$N,13,0))),0)</f>
        <v>0</v>
      </c>
      <c r="F43" s="130">
        <f t="shared" si="2"/>
        <v>3182.08360730398</v>
      </c>
      <c r="G43" s="160">
        <f t="shared" si="3"/>
        <v>4013.8089346329589</v>
      </c>
      <c r="H43" s="160"/>
      <c r="I43" s="3"/>
    </row>
    <row r="44" spans="1:11" x14ac:dyDescent="0.2">
      <c r="A44" s="1">
        <v>16</v>
      </c>
      <c r="B44" s="101">
        <v>16</v>
      </c>
      <c r="C44" s="138">
        <f t="shared" ca="1" si="0"/>
        <v>46003</v>
      </c>
      <c r="D44" s="129">
        <f t="shared" si="1"/>
        <v>893.41162243921144</v>
      </c>
      <c r="E44" s="140">
        <f>IF(B44&lt;=$F$15,(E$17*(VLOOKUP($H$2,Лист2!$A:$N,12,0)-(B44-1)*VLOOKUP($H$2,Лист2!$A:$N,13,0))),0)</f>
        <v>0</v>
      </c>
      <c r="F44" s="130">
        <f t="shared" si="2"/>
        <v>3120.397312193747</v>
      </c>
      <c r="G44" s="160">
        <f t="shared" si="3"/>
        <v>4013.8089346329584</v>
      </c>
      <c r="H44" s="160"/>
      <c r="I44" s="3"/>
    </row>
    <row r="45" spans="1:11" x14ac:dyDescent="0.2">
      <c r="A45" s="1">
        <v>22</v>
      </c>
      <c r="B45" s="101">
        <v>17</v>
      </c>
      <c r="C45" s="138">
        <f t="shared" ca="1" si="0"/>
        <v>46034</v>
      </c>
      <c r="D45" s="129">
        <f t="shared" si="1"/>
        <v>959.67298443678624</v>
      </c>
      <c r="E45" s="140">
        <f>IF(B45&lt;=$F$15,(E$17*(VLOOKUP($H$2,Лист2!$A:$N,12,0)-(B45-1)*VLOOKUP($H$2,Лист2!$A:$N,13,0))),0)</f>
        <v>0</v>
      </c>
      <c r="F45" s="130">
        <f t="shared" si="2"/>
        <v>3054.135950196172</v>
      </c>
      <c r="G45" s="160">
        <f t="shared" si="3"/>
        <v>4013.808934632958</v>
      </c>
      <c r="H45" s="160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46065</v>
      </c>
      <c r="D46" s="129">
        <f t="shared" si="1"/>
        <v>1030.8487307825146</v>
      </c>
      <c r="E46" s="140">
        <f>IF(B46&lt;=$F$15,(E$17*(VLOOKUP($H$2,Лист2!$A:$N,12,0)-(B46-1)*VLOOKUP($H$2,Лист2!$A:$N,13,0))),0)</f>
        <v>0</v>
      </c>
      <c r="F46" s="130">
        <f t="shared" si="2"/>
        <v>2982.9602038504436</v>
      </c>
      <c r="G46" s="160">
        <f t="shared" si="3"/>
        <v>4013.808934632958</v>
      </c>
      <c r="H46" s="160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46093</v>
      </c>
      <c r="D47" s="129">
        <f t="shared" si="1"/>
        <v>1107.3033449822178</v>
      </c>
      <c r="E47" s="140">
        <f>IF(B47&lt;=$F$15,(E$17*(VLOOKUP($H$2,Лист2!$A:$N,12,0)-(B47-1)*VLOOKUP($H$2,Лист2!$A:$N,13,0))),0)</f>
        <v>0</v>
      </c>
      <c r="F47" s="130">
        <f t="shared" si="2"/>
        <v>2906.5055896507406</v>
      </c>
      <c r="G47" s="160">
        <f t="shared" si="3"/>
        <v>4013.8089346329584</v>
      </c>
      <c r="H47" s="160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46124</v>
      </c>
      <c r="D48" s="129">
        <f t="shared" si="1"/>
        <v>1189.4283430683988</v>
      </c>
      <c r="E48" s="140">
        <f>IF(B48&lt;=$F$15,(E$17*(VLOOKUP($H$2,Лист2!$A:$N,12,0)-(B48-1)*VLOOKUP($H$2,Лист2!$A:$N,13,0))),0)</f>
        <v>0</v>
      </c>
      <c r="F48" s="130">
        <f t="shared" si="2"/>
        <v>2824.3805915645594</v>
      </c>
      <c r="G48" s="160">
        <f t="shared" si="3"/>
        <v>4013.808934632958</v>
      </c>
      <c r="H48" s="160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46154</v>
      </c>
      <c r="D49" s="129">
        <f t="shared" si="1"/>
        <v>1277.6442785126385</v>
      </c>
      <c r="E49" s="140">
        <f>IF(B49&lt;=$F$15,(E$17*(VLOOKUP($H$2,Лист2!$A:$N,12,0)-(B49-1)*VLOOKUP($H$2,Лист2!$A:$N,13,0))),0)</f>
        <v>0</v>
      </c>
      <c r="F49" s="130">
        <f t="shared" si="2"/>
        <v>2736.1646561203197</v>
      </c>
      <c r="G49" s="160">
        <f t="shared" si="3"/>
        <v>4013.808934632958</v>
      </c>
      <c r="H49" s="160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46185</v>
      </c>
      <c r="D50" s="129">
        <f t="shared" si="1"/>
        <v>1372.4028958356591</v>
      </c>
      <c r="E50" s="140">
        <f>IF(B50&lt;=$F$15,(E$17*(VLOOKUP($H$2,Лист2!$A:$N,12,0)-(B50-1)*VLOOKUP($H$2,Лист2!$A:$N,13,0))),0)</f>
        <v>0</v>
      </c>
      <c r="F50" s="130">
        <f t="shared" si="2"/>
        <v>2641.4060387972991</v>
      </c>
      <c r="G50" s="160">
        <f t="shared" si="3"/>
        <v>4013.808934632958</v>
      </c>
      <c r="H50" s="160"/>
      <c r="I50" s="3"/>
    </row>
    <row r="51" spans="1:11" x14ac:dyDescent="0.2">
      <c r="A51" s="49">
        <v>25</v>
      </c>
      <c r="B51" s="101">
        <v>23</v>
      </c>
      <c r="C51" s="138">
        <f t="shared" ca="1" si="0"/>
        <v>46215</v>
      </c>
      <c r="D51" s="129">
        <f t="shared" si="1"/>
        <v>1474.1894439434705</v>
      </c>
      <c r="E51" s="140">
        <f>IF(B51&lt;=$F$15,(E$17*(VLOOKUP($H$2,Лист2!$A:$N,12,0)-(B51-1)*VLOOKUP($H$2,Лист2!$A:$N,13,0))),0)</f>
        <v>0</v>
      </c>
      <c r="F51" s="130">
        <f t="shared" si="2"/>
        <v>2539.619490689488</v>
      </c>
      <c r="G51" s="160">
        <f t="shared" si="3"/>
        <v>4013.8089346329584</v>
      </c>
      <c r="H51" s="160"/>
      <c r="I51" s="3"/>
    </row>
    <row r="52" spans="1:11" x14ac:dyDescent="0.2">
      <c r="A52" s="49"/>
      <c r="B52" s="101">
        <v>24</v>
      </c>
      <c r="C52" s="138">
        <f t="shared" ca="1" si="0"/>
        <v>46246</v>
      </c>
      <c r="D52" s="129">
        <f t="shared" si="1"/>
        <v>1583.5251610359446</v>
      </c>
      <c r="E52" s="140">
        <f>IF(B52&lt;=$F$15,(E$17*(VLOOKUP($H$2,Лист2!$A:$N,12,0)-(B52-1)*VLOOKUP($H$2,Лист2!$A:$N,13,0))),0)</f>
        <v>0</v>
      </c>
      <c r="F52" s="130">
        <f t="shared" si="2"/>
        <v>2430.2837735970134</v>
      </c>
      <c r="G52" s="160">
        <f t="shared" si="3"/>
        <v>4013.808934632958</v>
      </c>
      <c r="H52" s="160"/>
      <c r="I52" s="3"/>
    </row>
    <row r="53" spans="1:11" x14ac:dyDescent="0.2">
      <c r="A53" s="49"/>
      <c r="B53" s="101">
        <v>25</v>
      </c>
      <c r="C53" s="138">
        <f t="shared" ca="1" si="0"/>
        <v>46277</v>
      </c>
      <c r="D53" s="129">
        <f t="shared" si="1"/>
        <v>1700.9699438127775</v>
      </c>
      <c r="E53" s="140">
        <f>IF(B53&lt;=$F$15,(E$17*(VLOOKUP($H$2,Лист2!$A:$N,12,0)-(B53-1)*VLOOKUP($H$2,Лист2!$A:$N,13,0))),0)</f>
        <v>0</v>
      </c>
      <c r="F53" s="130">
        <f t="shared" si="2"/>
        <v>2312.8389908201816</v>
      </c>
      <c r="G53" s="160">
        <f t="shared" si="3"/>
        <v>4013.8089346329589</v>
      </c>
      <c r="H53" s="160"/>
      <c r="I53" s="3"/>
    </row>
    <row r="54" spans="1:11" x14ac:dyDescent="0.2">
      <c r="A54" s="49"/>
      <c r="B54" s="101">
        <v>26</v>
      </c>
      <c r="C54" s="138">
        <f t="shared" ca="1" si="0"/>
        <v>46307</v>
      </c>
      <c r="D54" s="129">
        <f t="shared" si="1"/>
        <v>1827.1252146455583</v>
      </c>
      <c r="E54" s="140">
        <f>IF(B54&lt;=$F$15,(E$17*(VLOOKUP($H$2,Лист2!$A:$N,12,0)-(B54-1)*VLOOKUP($H$2,Лист2!$A:$N,13,0))),0)</f>
        <v>0</v>
      </c>
      <c r="F54" s="130">
        <f t="shared" si="2"/>
        <v>2186.6837199873999</v>
      </c>
      <c r="G54" s="160">
        <f t="shared" si="3"/>
        <v>4013.808934632958</v>
      </c>
      <c r="H54" s="160"/>
      <c r="I54" s="3"/>
    </row>
    <row r="55" spans="1:11" x14ac:dyDescent="0.2">
      <c r="A55" s="49"/>
      <c r="B55" s="101">
        <v>27</v>
      </c>
      <c r="C55" s="138">
        <f t="shared" ca="1" si="0"/>
        <v>46338</v>
      </c>
      <c r="D55" s="129">
        <f t="shared" si="1"/>
        <v>1962.637001398437</v>
      </c>
      <c r="E55" s="140">
        <f>IF(B55&lt;=$F$15,(E$17*(VLOOKUP($H$2,Лист2!$A:$N,12,0)-(B55-1)*VLOOKUP($H$2,Лист2!$A:$N,13,0))),0)</f>
        <v>0</v>
      </c>
      <c r="F55" s="130">
        <f t="shared" si="2"/>
        <v>2051.1719332345215</v>
      </c>
      <c r="G55" s="160">
        <f t="shared" si="3"/>
        <v>4013.8089346329584</v>
      </c>
      <c r="H55" s="160"/>
      <c r="I55" s="3"/>
    </row>
    <row r="56" spans="1:11" x14ac:dyDescent="0.2">
      <c r="A56" s="49"/>
      <c r="B56" s="101">
        <v>28</v>
      </c>
      <c r="C56" s="138">
        <f t="shared" ca="1" si="0"/>
        <v>46368</v>
      </c>
      <c r="D56" s="129">
        <f t="shared" si="1"/>
        <v>2108.1992456688213</v>
      </c>
      <c r="E56" s="140">
        <f>IF(B56&lt;=$F$15,(E$17*(VLOOKUP($H$2,Лист2!$A:$N,12,0)-(B56-1)*VLOOKUP($H$2,Лист2!$A:$N,13,0))),0)</f>
        <v>0</v>
      </c>
      <c r="F56" s="130">
        <f t="shared" si="2"/>
        <v>1905.6096889641374</v>
      </c>
      <c r="G56" s="160">
        <f t="shared" si="3"/>
        <v>4013.8089346329589</v>
      </c>
      <c r="H56" s="160"/>
      <c r="I56" s="3"/>
    </row>
    <row r="57" spans="1:11" x14ac:dyDescent="0.2">
      <c r="A57" s="49"/>
      <c r="B57" s="101">
        <v>29</v>
      </c>
      <c r="C57" s="138">
        <f t="shared" ca="1" si="0"/>
        <v>46399</v>
      </c>
      <c r="D57" s="129">
        <f t="shared" si="1"/>
        <v>2264.5573563892585</v>
      </c>
      <c r="E57" s="140">
        <f>IF(B57&lt;=$F$15,(E$17*(VLOOKUP($H$2,Лист2!$A:$N,12,0)-(B57-1)*VLOOKUP($H$2,Лист2!$A:$N,13,0))),0)</f>
        <v>0</v>
      </c>
      <c r="F57" s="130">
        <f t="shared" si="2"/>
        <v>1749.2515782436997</v>
      </c>
      <c r="G57" s="160">
        <f t="shared" si="3"/>
        <v>4013.808934632958</v>
      </c>
      <c r="H57" s="160"/>
      <c r="I57" s="3"/>
    </row>
    <row r="58" spans="1:11" x14ac:dyDescent="0.2">
      <c r="A58" s="49">
        <v>25</v>
      </c>
      <c r="B58" s="101">
        <v>30</v>
      </c>
      <c r="C58" s="138">
        <f t="shared" ca="1" si="0"/>
        <v>46430</v>
      </c>
      <c r="D58" s="129">
        <f t="shared" si="1"/>
        <v>2432.5120269881286</v>
      </c>
      <c r="E58" s="140">
        <f>IF(B58&lt;=$F$15,(E$17*(VLOOKUP($H$2,Лист2!$A:$N,12,0)-(B58-1)*VLOOKUP($H$2,Лист2!$A:$N,13,0))),0)</f>
        <v>0</v>
      </c>
      <c r="F58" s="130">
        <f t="shared" si="2"/>
        <v>1581.2969076448296</v>
      </c>
      <c r="G58" s="160">
        <f t="shared" si="3"/>
        <v>4013.808934632958</v>
      </c>
      <c r="H58" s="160"/>
      <c r="I58" s="106"/>
      <c r="J58" s="106"/>
    </row>
    <row r="59" spans="1:11" x14ac:dyDescent="0.2">
      <c r="A59" s="49"/>
      <c r="B59" s="101">
        <v>31</v>
      </c>
      <c r="C59" s="138">
        <f t="shared" ca="1" si="0"/>
        <v>46458</v>
      </c>
      <c r="D59" s="129">
        <f t="shared" si="1"/>
        <v>2612.923335656415</v>
      </c>
      <c r="E59" s="140">
        <f>IF(B59&lt;=$F$15,(E$17*(VLOOKUP($H$2,Лист2!$A:$N,12,0)-(B59-1)*VLOOKUP($H$2,Лист2!$A:$N,13,0))),0)</f>
        <v>0</v>
      </c>
      <c r="F59" s="130">
        <f t="shared" si="2"/>
        <v>1400.8855989765432</v>
      </c>
      <c r="G59" s="160">
        <f t="shared" si="3"/>
        <v>4013.808934632958</v>
      </c>
      <c r="H59" s="160"/>
      <c r="I59" s="106"/>
      <c r="J59" s="106"/>
    </row>
    <row r="60" spans="1:11" x14ac:dyDescent="0.2">
      <c r="A60" s="49"/>
      <c r="B60" s="101">
        <v>32</v>
      </c>
      <c r="C60" s="138">
        <f t="shared" ca="1" si="0"/>
        <v>46489</v>
      </c>
      <c r="D60" s="129">
        <f t="shared" si="1"/>
        <v>2806.7151497175992</v>
      </c>
      <c r="E60" s="140">
        <f>IF(B60&lt;=$F$15,(E$17*(VLOOKUP($H$2,Лист2!$A:$N,12,0)-(B60-1)*VLOOKUP($H$2,Лист2!$A:$N,13,0))),0)</f>
        <v>0</v>
      </c>
      <c r="F60" s="130">
        <f t="shared" si="2"/>
        <v>1207.0937849153595</v>
      </c>
      <c r="G60" s="160">
        <f t="shared" si="3"/>
        <v>4013.8089346329589</v>
      </c>
      <c r="H60" s="160"/>
      <c r="I60" s="106"/>
      <c r="J60" s="106"/>
    </row>
    <row r="61" spans="1:11" x14ac:dyDescent="0.2">
      <c r="A61" s="49"/>
      <c r="B61" s="101">
        <v>33</v>
      </c>
      <c r="C61" s="138">
        <f t="shared" ca="1" si="0"/>
        <v>46519</v>
      </c>
      <c r="D61" s="129">
        <f t="shared" si="1"/>
        <v>3014.8798566549872</v>
      </c>
      <c r="E61" s="140">
        <f>IF(B61&lt;=$F$15,(E$17*(VLOOKUP($H$2,Лист2!$A:$N,12,0)-(B61-1)*VLOOKUP($H$2,Лист2!$A:$N,13,0))),0)</f>
        <v>0</v>
      </c>
      <c r="F61" s="130">
        <f t="shared" si="2"/>
        <v>998.92907797797068</v>
      </c>
      <c r="G61" s="160">
        <f t="shared" si="3"/>
        <v>4013.808934632958</v>
      </c>
      <c r="H61" s="160"/>
      <c r="I61" s="106"/>
      <c r="J61" s="106"/>
    </row>
    <row r="62" spans="1:11" x14ac:dyDescent="0.2">
      <c r="A62" s="49"/>
      <c r="B62" s="101">
        <v>34</v>
      </c>
      <c r="C62" s="138">
        <f t="shared" ca="1" si="0"/>
        <v>46550</v>
      </c>
      <c r="D62" s="129">
        <f t="shared" si="1"/>
        <v>3238.4834460235661</v>
      </c>
      <c r="E62" s="140">
        <f>IF(B62&lt;=$F$15,(E$17*(VLOOKUP($H$2,Лист2!$A:$N,12,0)-(B62-1)*VLOOKUP($H$2,Лист2!$A:$N,13,0))),0)</f>
        <v>0</v>
      </c>
      <c r="F62" s="130">
        <f t="shared" si="2"/>
        <v>775.32548860939221</v>
      </c>
      <c r="G62" s="160">
        <f t="shared" si="3"/>
        <v>4013.8089346329584</v>
      </c>
      <c r="H62" s="160"/>
      <c r="I62" s="106"/>
      <c r="J62" s="106"/>
    </row>
    <row r="63" spans="1:11" x14ac:dyDescent="0.2">
      <c r="A63" s="49"/>
      <c r="B63" s="101">
        <v>35</v>
      </c>
      <c r="C63" s="138">
        <f t="shared" ca="1" si="0"/>
        <v>46580</v>
      </c>
      <c r="D63" s="129">
        <f t="shared" si="1"/>
        <v>3478.6709682703136</v>
      </c>
      <c r="E63" s="140">
        <f>IF(B63&lt;=$F$15,(E$17*(VLOOKUP($H$2,Лист2!$A:$N,12,0)-(B63-1)*VLOOKUP($H$2,Лист2!$A:$N,13,0))),0)</f>
        <v>0</v>
      </c>
      <c r="F63" s="130">
        <f t="shared" si="2"/>
        <v>535.13796636264465</v>
      </c>
      <c r="G63" s="160">
        <f t="shared" si="3"/>
        <v>4013.808934632958</v>
      </c>
      <c r="H63" s="160"/>
      <c r="I63" s="106"/>
      <c r="J63" s="106"/>
    </row>
    <row r="64" spans="1:11" x14ac:dyDescent="0.2">
      <c r="A64" s="49"/>
      <c r="B64" s="101">
        <v>36</v>
      </c>
      <c r="C64" s="138">
        <f t="shared" ca="1" si="0"/>
        <v>46611</v>
      </c>
      <c r="D64" s="129">
        <f t="shared" si="1"/>
        <v>3736.6723984170289</v>
      </c>
      <c r="E64" s="140">
        <f>IF(B64&lt;=$F$15,(E$17*(VLOOKUP($H$2,Лист2!$A:$N,12,0)-(B64-1)*VLOOKUP($H$2,Лист2!$A:$N,13,0))),0)</f>
        <v>0</v>
      </c>
      <c r="F64" s="130">
        <f t="shared" si="2"/>
        <v>277.13653621592965</v>
      </c>
      <c r="G64" s="160">
        <f t="shared" si="3"/>
        <v>4013.8089346329584</v>
      </c>
      <c r="H64" s="160"/>
      <c r="I64" s="106"/>
      <c r="J64" s="106"/>
    </row>
    <row r="65" spans="1:10" x14ac:dyDescent="0.2">
      <c r="A65" s="49"/>
      <c r="B65" s="101">
        <v>37</v>
      </c>
      <c r="C65" s="104">
        <f t="shared" ca="1" si="0"/>
        <v>46642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60">
        <f t="shared" si="3"/>
        <v>0</v>
      </c>
      <c r="H65" s="160"/>
      <c r="I65" s="106"/>
      <c r="J65" s="106"/>
    </row>
    <row r="66" spans="1:10" x14ac:dyDescent="0.2">
      <c r="A66" s="49"/>
      <c r="B66" s="101">
        <v>38</v>
      </c>
      <c r="C66" s="104">
        <f t="shared" ca="1" si="0"/>
        <v>46672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60">
        <f t="shared" si="3"/>
        <v>0</v>
      </c>
      <c r="H66" s="160"/>
      <c r="I66" s="106"/>
      <c r="J66" s="106"/>
    </row>
    <row r="67" spans="1:10" x14ac:dyDescent="0.2">
      <c r="A67" s="49"/>
      <c r="B67" s="101">
        <v>39</v>
      </c>
      <c r="C67" s="104">
        <f t="shared" ca="1" si="0"/>
        <v>46703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60">
        <f t="shared" si="3"/>
        <v>0</v>
      </c>
      <c r="H67" s="160"/>
      <c r="I67" s="106"/>
      <c r="J67" s="106"/>
    </row>
    <row r="68" spans="1:10" x14ac:dyDescent="0.2">
      <c r="A68" s="49"/>
      <c r="B68" s="101">
        <v>40</v>
      </c>
      <c r="C68" s="104">
        <f t="shared" ca="1" si="0"/>
        <v>46733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60">
        <f t="shared" si="3"/>
        <v>0</v>
      </c>
      <c r="H68" s="160"/>
      <c r="I68" s="106"/>
      <c r="J68" s="106"/>
    </row>
    <row r="69" spans="1:10" x14ac:dyDescent="0.2">
      <c r="A69" s="49"/>
      <c r="B69" s="101">
        <v>41</v>
      </c>
      <c r="C69" s="104">
        <f t="shared" ca="1" si="0"/>
        <v>46764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60">
        <f t="shared" si="3"/>
        <v>0</v>
      </c>
      <c r="H69" s="160"/>
      <c r="I69" s="106"/>
      <c r="J69" s="106"/>
    </row>
    <row r="70" spans="1:10" x14ac:dyDescent="0.2">
      <c r="A70" s="49"/>
      <c r="B70" s="101">
        <v>42</v>
      </c>
      <c r="C70" s="104">
        <f t="shared" ca="1" si="0"/>
        <v>46795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60">
        <f t="shared" si="3"/>
        <v>0</v>
      </c>
      <c r="H70" s="160"/>
      <c r="I70" s="106"/>
      <c r="J70" s="106"/>
    </row>
    <row r="71" spans="1:10" x14ac:dyDescent="0.2">
      <c r="A71" s="49"/>
      <c r="B71" s="101">
        <v>43</v>
      </c>
      <c r="C71" s="104">
        <f t="shared" ca="1" si="0"/>
        <v>46824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60">
        <f t="shared" si="3"/>
        <v>0</v>
      </c>
      <c r="H71" s="160"/>
      <c r="I71" s="106"/>
      <c r="J71" s="106"/>
    </row>
    <row r="72" spans="1:10" x14ac:dyDescent="0.2">
      <c r="A72" s="49"/>
      <c r="B72" s="101">
        <v>44</v>
      </c>
      <c r="C72" s="104">
        <f t="shared" ca="1" si="0"/>
        <v>46855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60">
        <f t="shared" si="3"/>
        <v>0</v>
      </c>
      <c r="H72" s="160"/>
      <c r="I72" s="106"/>
      <c r="J72" s="106"/>
    </row>
    <row r="73" spans="1:10" x14ac:dyDescent="0.2">
      <c r="A73" s="49"/>
      <c r="B73" s="101">
        <v>45</v>
      </c>
      <c r="C73" s="104">
        <f t="shared" ca="1" si="0"/>
        <v>46885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60">
        <f t="shared" si="3"/>
        <v>0</v>
      </c>
      <c r="H73" s="160"/>
      <c r="I73" s="106"/>
      <c r="J73" s="106"/>
    </row>
    <row r="74" spans="1:10" x14ac:dyDescent="0.2">
      <c r="A74" s="49"/>
      <c r="B74" s="101">
        <v>46</v>
      </c>
      <c r="C74" s="104">
        <f t="shared" ca="1" si="0"/>
        <v>46916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60">
        <f t="shared" si="3"/>
        <v>0</v>
      </c>
      <c r="H74" s="160"/>
      <c r="I74" s="106"/>
      <c r="J74" s="106"/>
    </row>
    <row r="75" spans="1:10" x14ac:dyDescent="0.2">
      <c r="A75" s="49"/>
      <c r="B75" s="101">
        <v>47</v>
      </c>
      <c r="C75" s="104">
        <f t="shared" ca="1" si="0"/>
        <v>46946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60">
        <f t="shared" si="3"/>
        <v>0</v>
      </c>
      <c r="H75" s="160"/>
      <c r="I75" s="106"/>
      <c r="J75" s="106"/>
    </row>
    <row r="76" spans="1:10" x14ac:dyDescent="0.2">
      <c r="A76" s="49"/>
      <c r="B76" s="101">
        <v>48</v>
      </c>
      <c r="C76" s="104">
        <f t="shared" ca="1" si="0"/>
        <v>46977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60">
        <f t="shared" si="3"/>
        <v>0</v>
      </c>
      <c r="H76" s="160"/>
      <c r="I76" s="106"/>
      <c r="J76" s="106"/>
    </row>
    <row r="77" spans="1:10" x14ac:dyDescent="0.2">
      <c r="A77" s="49"/>
      <c r="B77" s="101">
        <v>49</v>
      </c>
      <c r="C77" s="104">
        <f t="shared" ca="1" si="0"/>
        <v>47008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60">
        <f t="shared" si="3"/>
        <v>0</v>
      </c>
      <c r="H77" s="160"/>
      <c r="I77" s="106"/>
      <c r="J77" s="106"/>
    </row>
    <row r="78" spans="1:10" x14ac:dyDescent="0.2">
      <c r="A78" s="49"/>
      <c r="B78" s="101">
        <v>50</v>
      </c>
      <c r="C78" s="104">
        <f t="shared" ca="1" si="0"/>
        <v>47038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60">
        <f t="shared" si="3"/>
        <v>0</v>
      </c>
      <c r="H78" s="160"/>
      <c r="I78" s="106"/>
      <c r="J78" s="106"/>
    </row>
    <row r="79" spans="1:10" x14ac:dyDescent="0.2">
      <c r="A79" s="49"/>
      <c r="B79" s="101">
        <v>51</v>
      </c>
      <c r="C79" s="104">
        <f t="shared" ca="1" si="0"/>
        <v>47069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60">
        <f t="shared" si="3"/>
        <v>0</v>
      </c>
      <c r="H79" s="160"/>
      <c r="I79" s="106"/>
      <c r="J79" s="106"/>
    </row>
    <row r="80" spans="1:10" x14ac:dyDescent="0.2">
      <c r="A80" s="49"/>
      <c r="B80" s="101">
        <v>52</v>
      </c>
      <c r="C80" s="104">
        <f t="shared" ca="1" si="0"/>
        <v>47099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60">
        <f t="shared" si="3"/>
        <v>0</v>
      </c>
      <c r="H80" s="160"/>
      <c r="I80" s="106"/>
      <c r="J80" s="106"/>
    </row>
    <row r="81" spans="1:10" x14ac:dyDescent="0.2">
      <c r="A81" s="49"/>
      <c r="B81" s="101">
        <v>53</v>
      </c>
      <c r="C81" s="104">
        <f t="shared" ca="1" si="0"/>
        <v>47130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60">
        <f t="shared" si="3"/>
        <v>0</v>
      </c>
      <c r="H81" s="160"/>
      <c r="I81" s="106"/>
      <c r="J81" s="106"/>
    </row>
    <row r="82" spans="1:10" x14ac:dyDescent="0.2">
      <c r="A82" s="49"/>
      <c r="B82" s="101">
        <v>54</v>
      </c>
      <c r="C82" s="104">
        <f t="shared" ca="1" si="0"/>
        <v>47161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60">
        <f t="shared" si="3"/>
        <v>0</v>
      </c>
      <c r="H82" s="160"/>
      <c r="I82" s="106"/>
      <c r="J82" s="106"/>
    </row>
    <row r="83" spans="1:10" x14ac:dyDescent="0.2">
      <c r="A83" s="49"/>
      <c r="B83" s="101">
        <v>55</v>
      </c>
      <c r="C83" s="104">
        <f t="shared" ca="1" si="0"/>
        <v>47189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60">
        <f t="shared" si="3"/>
        <v>0</v>
      </c>
      <c r="H83" s="160"/>
      <c r="I83" s="106"/>
      <c r="J83" s="106"/>
    </row>
    <row r="84" spans="1:10" x14ac:dyDescent="0.2">
      <c r="A84" s="49"/>
      <c r="B84" s="101">
        <v>56</v>
      </c>
      <c r="C84" s="104">
        <f t="shared" ca="1" si="0"/>
        <v>47220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60">
        <f t="shared" si="3"/>
        <v>0</v>
      </c>
      <c r="H84" s="160"/>
      <c r="I84" s="106"/>
      <c r="J84" s="106"/>
    </row>
    <row r="85" spans="1:10" x14ac:dyDescent="0.2">
      <c r="A85" s="49"/>
      <c r="B85" s="101">
        <v>57</v>
      </c>
      <c r="C85" s="104">
        <f t="shared" ca="1" si="0"/>
        <v>47250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60">
        <f t="shared" si="3"/>
        <v>0</v>
      </c>
      <c r="H85" s="160"/>
      <c r="I85" s="106"/>
      <c r="J85" s="106"/>
    </row>
    <row r="86" spans="1:10" x14ac:dyDescent="0.2">
      <c r="A86" s="49"/>
      <c r="B86" s="101">
        <v>58</v>
      </c>
      <c r="C86" s="104">
        <f t="shared" ca="1" si="0"/>
        <v>47281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60">
        <f t="shared" si="3"/>
        <v>0</v>
      </c>
      <c r="H86" s="160"/>
      <c r="I86" s="106"/>
      <c r="J86" s="106"/>
    </row>
    <row r="87" spans="1:10" x14ac:dyDescent="0.2">
      <c r="A87" s="49"/>
      <c r="B87" s="101">
        <v>59</v>
      </c>
      <c r="C87" s="104">
        <f t="shared" ca="1" si="0"/>
        <v>47311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60">
        <f t="shared" si="3"/>
        <v>0</v>
      </c>
      <c r="H87" s="160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47342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73">
        <f t="shared" si="3"/>
        <v>0</v>
      </c>
      <c r="H88" s="173"/>
      <c r="I88" s="106"/>
      <c r="J88" s="106"/>
    </row>
    <row r="89" spans="1:10" ht="16.5" thickBot="1" x14ac:dyDescent="0.25">
      <c r="A89" s="49"/>
      <c r="B89" s="168" t="s">
        <v>1</v>
      </c>
      <c r="C89" s="169"/>
      <c r="D89" s="133">
        <f>SUM(D29:D88)</f>
        <v>50000.000000000015</v>
      </c>
      <c r="E89" s="133">
        <f>SUM(E29:E88)</f>
        <v>0</v>
      </c>
      <c r="F89" s="133">
        <f>SUM(F29:F88)</f>
        <v>94497.121646786472</v>
      </c>
      <c r="G89" s="170">
        <f>SUM(G29:H88)</f>
        <v>144497.12164678649</v>
      </c>
      <c r="H89" s="171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72" t="s">
        <v>3</v>
      </c>
      <c r="F91" s="172"/>
      <c r="G91" s="172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mjrXa3lHx8YOlNd7UzdOLtcIeD1a4XNzRyA5gvI7t5taoZ2D/zQP6SDzmvRqRigJ69cFA3jsstRQpBD18WuZHg==" saltValue="21iizjPjWpcyAhd4xd2avw==" spinCount="100000" sheet="1" objects="1" scenarios="1" selectLockedCells="1"/>
  <dataConsolidate/>
  <mergeCells count="87"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B15:E15"/>
    <mergeCell ref="G15:H15"/>
    <mergeCell ref="B18:E18"/>
    <mergeCell ref="G18:H18"/>
    <mergeCell ref="B20:E20"/>
    <mergeCell ref="G20:H20"/>
    <mergeCell ref="B9:E9"/>
    <mergeCell ref="G9:H9"/>
    <mergeCell ref="B11:E11"/>
    <mergeCell ref="G11:H11"/>
    <mergeCell ref="B13:E13"/>
    <mergeCell ref="G13:H13"/>
    <mergeCell ref="B7:E7"/>
    <mergeCell ref="H1:I1"/>
    <mergeCell ref="H2:I2"/>
    <mergeCell ref="F3:F4"/>
    <mergeCell ref="H3:I3"/>
    <mergeCell ref="B5:E5"/>
  </mergeCells>
  <dataValidations count="1">
    <dataValidation type="list" showInputMessage="1" showErrorMessage="1" sqref="H2:I2" xr:uid="{00000000-0002-0000-0000-000000000000}">
      <formula1>$K$14</formula1>
    </dataValidation>
  </dataValidations>
  <pageMargins left="0.39370078740157483" right="0.35433070866141736" top="0.59055118110236227" bottom="0.59055118110236227" header="0.51181102362204722" footer="0.51181102362204722"/>
  <pageSetup paperSize="9" scale="68" firstPageNumber="2" orientation="portrait" verticalDpi="300" r:id="rId1"/>
  <headerFooter alignWithMargins="0"/>
  <rowBreaks count="1" manualBreakCount="1">
    <brk id="8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4"/>
  <sheetViews>
    <sheetView zoomScale="85" zoomScaleNormal="85" workbookViewId="0">
      <selection activeCell="E41" sqref="E41"/>
    </sheetView>
  </sheetViews>
  <sheetFormatPr defaultColWidth="9.140625" defaultRowHeight="12.75" x14ac:dyDescent="0.2"/>
  <cols>
    <col min="1" max="1" width="35.28515625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46</v>
      </c>
      <c r="B4" s="117">
        <v>250000</v>
      </c>
      <c r="C4" s="117">
        <v>36</v>
      </c>
      <c r="D4" s="118">
        <v>0.89</v>
      </c>
      <c r="E4" s="118">
        <v>0</v>
      </c>
      <c r="F4" s="118">
        <v>0</v>
      </c>
      <c r="G4" s="117" t="str">
        <f t="shared" ref="G4" si="0">I$2&amp;" "&amp;B4&amp;" "&amp;H$2</f>
        <v>max. 250000 грн.</v>
      </c>
      <c r="H4" s="117">
        <f t="shared" ref="H4" si="1">B4+B4*E4</f>
        <v>250000</v>
      </c>
      <c r="I4" s="117"/>
      <c r="J4" s="117">
        <v>4</v>
      </c>
      <c r="K4" s="119">
        <f t="shared" ref="K4" si="2">D4/12/(1-1/POWER(1+D4/12,C4))*H4+H4*F4</f>
        <v>20069.04467316479</v>
      </c>
      <c r="L4" s="120">
        <v>0</v>
      </c>
      <c r="M4" s="121">
        <v>0</v>
      </c>
      <c r="N4" s="117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9" t="s">
        <v>13</v>
      </c>
      <c r="B1" s="190"/>
      <c r="C1" s="190"/>
      <c r="D1" s="19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84" t="s">
        <v>30</v>
      </c>
      <c r="B3" s="185"/>
      <c r="C3" s="185"/>
      <c r="D3" s="18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84" t="s">
        <v>29</v>
      </c>
      <c r="B5" s="185"/>
      <c r="C5" s="185"/>
      <c r="D5" s="18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84" t="s">
        <v>31</v>
      </c>
      <c r="B7" s="185"/>
      <c r="C7" s="185"/>
      <c r="D7" s="18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84" t="s">
        <v>44</v>
      </c>
      <c r="B9" s="185"/>
      <c r="C9" s="185"/>
      <c r="D9" s="18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84" t="s">
        <v>43</v>
      </c>
      <c r="B12" s="185"/>
      <c r="C12" s="185"/>
      <c r="D12" s="18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84" t="s">
        <v>38</v>
      </c>
      <c r="B14" s="185"/>
      <c r="C14" s="185"/>
      <c r="D14" s="18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84" t="s">
        <v>42</v>
      </c>
      <c r="B16" s="185"/>
      <c r="C16" s="185"/>
      <c r="D16" s="18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87" t="s">
        <v>5</v>
      </c>
      <c r="B20" s="18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74" t="s">
        <v>16</v>
      </c>
      <c r="B21" s="175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74" t="s">
        <v>6</v>
      </c>
      <c r="B22" s="175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74" t="s">
        <v>14</v>
      </c>
      <c r="B23" s="175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74" t="s">
        <v>15</v>
      </c>
      <c r="B24" s="175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77" t="s">
        <v>36</v>
      </c>
      <c r="B27" s="178"/>
      <c r="C27" s="178"/>
      <c r="D27" s="178"/>
      <c r="E27" s="178"/>
      <c r="F27" s="178"/>
      <c r="G27" s="179"/>
    </row>
    <row r="28" spans="1:8" ht="45.75" thickBot="1" x14ac:dyDescent="0.25">
      <c r="A28" s="180" t="s">
        <v>2</v>
      </c>
      <c r="B28" s="181"/>
      <c r="C28" s="84" t="s">
        <v>34</v>
      </c>
      <c r="D28" s="84" t="s">
        <v>32</v>
      </c>
      <c r="E28" s="84" t="s">
        <v>33</v>
      </c>
      <c r="F28" s="182" t="s">
        <v>35</v>
      </c>
      <c r="G28" s="183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76"/>
      <c r="E30" s="176"/>
      <c r="F30" s="176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12:D12"/>
    <mergeCell ref="A14:D14"/>
    <mergeCell ref="A16:D16"/>
    <mergeCell ref="A20:B20"/>
    <mergeCell ref="A1:D1"/>
    <mergeCell ref="A3:D3"/>
    <mergeCell ref="A5:D5"/>
    <mergeCell ref="A7:D7"/>
    <mergeCell ref="A9:D9"/>
    <mergeCell ref="A21:B21"/>
    <mergeCell ref="A22:B22"/>
    <mergeCell ref="D30:F30"/>
    <mergeCell ref="A24:B24"/>
    <mergeCell ref="A27:G27"/>
    <mergeCell ref="A28:B28"/>
    <mergeCell ref="F28:G28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Мобільний_Тріум</vt:lpstr>
      <vt:lpstr>Лист2</vt:lpstr>
      <vt:lpstr>Назви</vt:lpstr>
      <vt:lpstr>Мобільний_Тріум!Область_друку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2024-08-12T14:39:51Z</dcterms:modified>
</cp:coreProperties>
</file>