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"/>
    </mc:Choice>
  </mc:AlternateContent>
  <xr:revisionPtr revIDLastSave="0" documentId="13_ncr:1_{BCFBFEA6-8E60-4917-A7FE-85406FCAD33E}" xr6:coauthVersionLast="47" xr6:coauthVersionMax="47" xr10:uidLastSave="{00000000-0000-0000-0000-000000000000}"/>
  <workbookProtection workbookAlgorithmName="SHA-512" workbookHashValue="3Y+IoanaM/CpYycsC5eOQkngGs0MAYJfR0KsRebeU8Lt0547M4iFck35t/ue5p5SojFFiiPq0Iv27bP5pPghNA==" workbookSaltValue="XCIWy3ZzLRCiOyspdoz/eg==" workbookSpinCount="100000" lockStructure="1"/>
  <bookViews>
    <workbookView xWindow="-120" yWindow="-120" windowWidth="29040" windowHeight="15990" tabRatio="863" xr2:uid="{00000000-000D-0000-FFFF-FFFF00000000}"/>
  </bookViews>
  <sheets>
    <sheet name="I-Shop_Грейсові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'I-Shop_Грейсові'!$A$1:$I$103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64" l="1"/>
  <c r="L9" i="164"/>
  <c r="L10" i="164"/>
  <c r="H7" i="165"/>
  <c r="H6" i="165"/>
  <c r="M6" i="165"/>
  <c r="L6" i="165"/>
  <c r="G6" i="165"/>
  <c r="M5" i="165"/>
  <c r="H5" i="165"/>
  <c r="L5" i="165" s="1"/>
  <c r="G5" i="165"/>
  <c r="M4" i="165"/>
  <c r="H4" i="165"/>
  <c r="L4" i="165" s="1"/>
  <c r="G4" i="165"/>
  <c r="M7" i="165"/>
  <c r="L7" i="165"/>
  <c r="G7" i="165"/>
  <c r="C39" i="164" l="1"/>
  <c r="E2" i="164" l="1"/>
  <c r="G39" i="164" l="1"/>
  <c r="G2" i="164" l="1"/>
  <c r="B28" i="164"/>
  <c r="B26" i="164"/>
  <c r="B24" i="164"/>
  <c r="B11" i="164"/>
  <c r="F17" i="164" l="1"/>
  <c r="L7" i="164"/>
  <c r="H3" i="164" l="1"/>
  <c r="F2" i="164"/>
  <c r="F21" i="164"/>
  <c r="F13" i="164"/>
  <c r="F15" i="164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G3" i="164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2" i="161"/>
  <c r="F20" i="161"/>
  <c r="F64" i="164" l="1"/>
  <c r="F68" i="164"/>
  <c r="F72" i="164"/>
  <c r="F76" i="164"/>
  <c r="F80" i="164"/>
  <c r="F84" i="164"/>
  <c r="F88" i="164"/>
  <c r="F92" i="164"/>
  <c r="F96" i="164"/>
  <c r="F65" i="164"/>
  <c r="F69" i="164"/>
  <c r="F73" i="164"/>
  <c r="F77" i="164"/>
  <c r="F81" i="164"/>
  <c r="F85" i="164"/>
  <c r="F89" i="164"/>
  <c r="F93" i="164"/>
  <c r="F97" i="164"/>
  <c r="F66" i="164"/>
  <c r="F70" i="164"/>
  <c r="F74" i="164"/>
  <c r="F78" i="164"/>
  <c r="F82" i="164"/>
  <c r="F86" i="164"/>
  <c r="F90" i="164"/>
  <c r="F94" i="164"/>
  <c r="F98" i="164"/>
  <c r="F67" i="164"/>
  <c r="F71" i="164"/>
  <c r="F75" i="164"/>
  <c r="F79" i="164"/>
  <c r="F83" i="164"/>
  <c r="F87" i="164"/>
  <c r="F91" i="164"/>
  <c r="F95" i="164"/>
  <c r="F99" i="164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8" i="164"/>
  <c r="E97" i="164"/>
  <c r="E94" i="164"/>
  <c r="E80" i="164"/>
  <c r="E85" i="164"/>
  <c r="F23" i="161"/>
  <c r="G21" i="161"/>
  <c r="E66" i="164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75" i="164"/>
  <c r="E89" i="164"/>
  <c r="E92" i="164"/>
  <c r="E84" i="164"/>
  <c r="E64" i="164"/>
  <c r="D59" i="164" l="1"/>
  <c r="F43" i="164"/>
  <c r="F47" i="164"/>
  <c r="F51" i="164"/>
  <c r="F55" i="164"/>
  <c r="F59" i="164"/>
  <c r="F63" i="164"/>
  <c r="F46" i="164"/>
  <c r="F58" i="164"/>
  <c r="F62" i="164"/>
  <c r="F44" i="164"/>
  <c r="F48" i="164"/>
  <c r="F52" i="164"/>
  <c r="F56" i="164"/>
  <c r="F60" i="164"/>
  <c r="F40" i="164"/>
  <c r="F50" i="164"/>
  <c r="F41" i="164"/>
  <c r="F45" i="164"/>
  <c r="F49" i="164"/>
  <c r="F53" i="164"/>
  <c r="F57" i="164"/>
  <c r="F61" i="164"/>
  <c r="F42" i="164"/>
  <c r="F54" i="164"/>
  <c r="E71" i="164"/>
  <c r="E44" i="164"/>
  <c r="E82" i="164"/>
  <c r="E87" i="164"/>
  <c r="E86" i="164"/>
  <c r="E77" i="164"/>
  <c r="D87" i="164"/>
  <c r="D83" i="164"/>
  <c r="G83" i="164" s="1"/>
  <c r="D79" i="164"/>
  <c r="G79" i="164" s="1"/>
  <c r="D75" i="164"/>
  <c r="G75" i="164" s="1"/>
  <c r="D71" i="164"/>
  <c r="D67" i="164"/>
  <c r="D84" i="164"/>
  <c r="G84" i="164" s="1"/>
  <c r="D80" i="164"/>
  <c r="G80" i="164" s="1"/>
  <c r="D76" i="164"/>
  <c r="G76" i="164" s="1"/>
  <c r="D72" i="164"/>
  <c r="D68" i="164"/>
  <c r="D64" i="164"/>
  <c r="G64" i="164" s="1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40" i="164"/>
  <c r="D61" i="164"/>
  <c r="D60" i="164"/>
  <c r="D56" i="164"/>
  <c r="D57" i="164"/>
  <c r="D63" i="164"/>
  <c r="D62" i="164"/>
  <c r="D58" i="164"/>
  <c r="E3" i="164"/>
  <c r="F3" i="164" s="1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G59" i="164" s="1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 l="1"/>
  <c r="G71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<sst xmlns="http://schemas.openxmlformats.org/spreadsheetml/2006/main" count="172" uniqueCount="164">
  <si>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</si>
  <si>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</si>
  <si>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</si>
  <si>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</si>
  <si>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</si>
  <si>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</si>
  <si>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</si>
  <si>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</si>
  <si>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</si>
  <si>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</si>
  <si>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</si>
  <si>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</si>
  <si>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</si>
  <si>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</si>
  <si>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</si>
  <si>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</si>
  <si>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</si>
  <si>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</si>
  <si>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</si>
  <si>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</si>
  <si>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</si>
  <si>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</si>
  <si>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</si>
  <si>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</si>
  <si>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</si>
  <si>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</si>
  <si>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</si>
  <si>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</si>
  <si>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</si>
  <si>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</si>
  <si>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</si>
  <si>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</si>
  <si>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</si>
  <si>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</si>
  <si>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</si>
  <si>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</si>
  <si>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</si>
  <si>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</si>
  <si>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</si>
  <si>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</si>
  <si>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</si>
  <si>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</si>
  <si>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</si>
  <si>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</si>
  <si>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</si>
  <si>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</si>
  <si>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</si>
  <si>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</si>
  <si>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</si>
  <si>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</si>
  <si>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</si>
  <si>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</si>
  <si>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</si>
  <si>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</si>
  <si>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</si>
  <si>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</si>
  <si>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</si>
  <si>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</si>
  <si>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</si>
  <si>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</si>
  <si>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</si>
  <si>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</si>
  <si>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</si>
  <si>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</si>
  <si>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</si>
  <si>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</si>
  <si>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</si>
  <si>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</si>
  <si>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</si>
  <si>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</si>
  <si>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</si>
  <si>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</si>
  <si>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</si>
  <si>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</si>
  <si>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</si>
  <si>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</si>
  <si>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</si>
  <si>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</si>
  <si>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</si>
  <si>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</si>
  <si>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</si>
  <si>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</si>
  <si>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</si>
  <si>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</si>
  <si>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</si>
  <si>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</si>
  <si>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</si>
  <si>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</si>
  <si>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</si>
  <si>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</si>
  <si>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</si>
  <si>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</si>
  <si>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</si>
  <si>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</si>
  <si>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</si>
  <si>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</si>
  <si>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</si>
  <si>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</si>
  <si>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</si>
  <si>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</si>
  <si>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</si>
  <si>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</si>
  <si>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</si>
  <si>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</si>
  <si>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</si>
  <si>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</si>
  <si>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</si>
  <si>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</si>
  <si>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</si>
  <si>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</si>
  <si>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</si>
  <si>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</si>
  <si>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</si>
  <si>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</si>
  <si>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</si>
  <si>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</si>
  <si>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</si>
  <si>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</si>
  <si>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</si>
  <si>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</si>
  <si>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</si>
  <si>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</si>
  <si>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</si>
  <si>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</si>
  <si>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</si>
  <si>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</si>
  <si>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</si>
  <si>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</si>
  <si>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</si>
  <si>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</si>
  <si>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</si>
  <si>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</si>
  <si>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</si>
  <si>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</si>
  <si>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</si>
  <si>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</si>
  <si>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</si>
  <si>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</si>
  <si>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</si>
  <si>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</si>
  <si>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</si>
  <si>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</si>
  <si>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</si>
  <si>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</si>
  <si>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</si>
  <si>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</si>
  <si>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</si>
  <si>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</si>
  <si>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</si>
  <si>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</si>
  <si>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</si>
  <si>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</si>
  <si>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</si>
  <si>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</si>
  <si>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</si>
  <si>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</si>
  <si>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</si>
  <si>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</si>
  <si>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</si>
  <si>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</si>
  <si>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Osnova_I-Shop_0-9-18</t>
  </si>
  <si>
    <t>Osnova_I-Shop_0-6-14</t>
  </si>
  <si>
    <t>Osnova_I-Shop_0-10-24</t>
  </si>
  <si>
    <t>Osnova_I-Shop_0-15-24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</si>
</sst>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9" fontId="0" fillId="11" borderId="0" xfId="0" applyNumberFormat="1" applyFill="1" applyProtection="1">
      <protection hidden="1"/>
    </xf>
    <xf numFmtId="2" fontId="0" fillId="11" borderId="0" xfId="0" applyNumberFormat="1" applyFill="1" applyProtection="1">
      <protection hidden="1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944880</xdr:colOff>
      <xdr:row>3</xdr:row>
      <xdr:rowOff>28575</xdr:rowOff>
    </xdr:to>
    <xdr:pic>
      <xdr:nvPicPr>
        <xdr:cNvPr id="4097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90500"/>
          <a:ext cx="2057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4</xdr:col>
      <xdr:colOff>1905</xdr:colOff>
      <xdr:row>3</xdr:row>
      <xdr:rowOff>47625</xdr:rowOff>
    </xdr:to>
    <xdr:pic>
      <xdr:nvPicPr>
        <xdr:cNvPr id="4098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2875" y="180975"/>
          <a:ext cx="21526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20.2851562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213" t="s">
        <v>48</v>
      </c>
      <c r="I1" s="213"/>
    </row>
    <row r="2" spans="1:45" ht="12.75" customHeight="1" x14ac:dyDescent="0.2">
      <c r="A2" s="2"/>
      <c r="B2" s="88"/>
      <c r="C2" s="88"/>
      <c r="D2" s="88"/>
      <c r="E2" s="109">
        <f>VLOOKUP('I-Shop_Грейсові'!H2,Лист2!A:P,16,FALSE)</f>
        <v>877.2</v>
      </c>
      <c r="F2" s="132">
        <f>VLOOKUP(H$2,Лист2!$A:$H,8,0)</f>
        <v>100000.00200000001</v>
      </c>
      <c r="G2" s="177">
        <f ca="1">TODAY()</f>
        <v>45569</v>
      </c>
      <c r="H2" s="219" t="s">
        <v>160</v>
      </c>
      <c r="I2" s="220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57000</v>
      </c>
      <c r="F3" s="221" t="str">
        <f>IF(E3="x","Збільшіть суму",IF(E3="y","Зменшіть суму",""))</f>
        <v/>
      </c>
      <c r="G3" s="133">
        <f>Назви!B32</f>
        <v>30.4</v>
      </c>
      <c r="H3" s="223">
        <f>VLOOKUP(H$2,Лист2!$A:$H,8,0)</f>
        <v>100000.00200000001</v>
      </c>
      <c r="I3" s="224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222"/>
      <c r="G4" s="112"/>
      <c r="H4" s="162"/>
      <c r="I4" s="120"/>
      <c r="J4" s="35"/>
      <c r="AA4" s="51"/>
    </row>
    <row r="5" spans="1:45" ht="21" thickBot="1" x14ac:dyDescent="0.25">
      <c r="A5" s="1"/>
      <c r="B5" s="225" t="s">
        <v>42</v>
      </c>
      <c r="C5" s="226"/>
      <c r="D5" s="226"/>
      <c r="E5" s="227"/>
      <c r="F5" s="161">
        <v>50000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>
        <v>935</v>
      </c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216" t="s">
        <v>43</v>
      </c>
      <c r="C7" s="217"/>
      <c r="D7" s="217"/>
      <c r="E7" s="218"/>
      <c r="F7" s="163">
        <f>F5+F5*F11+F15+F5*F17</f>
        <v>57000</v>
      </c>
      <c r="G7" s="164"/>
      <c r="H7" s="165"/>
      <c r="I7" s="42"/>
      <c r="J7" s="4"/>
      <c r="K7" s="37"/>
      <c r="L7" s="51" t="str">
        <f>Лист2!A4</f>
        <v>Osnova_I-Shop_0-9-18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214"/>
      <c r="B8" s="214"/>
      <c r="C8" s="214"/>
      <c r="D8" s="214"/>
      <c r="E8" s="214"/>
      <c r="F8" s="188"/>
      <c r="G8" s="214"/>
      <c r="H8" s="214"/>
      <c r="I8" s="214"/>
      <c r="J8" s="4"/>
      <c r="K8" s="37"/>
      <c r="L8" s="51" t="str">
        <f>Лист2!A5</f>
        <v>Osnova_I-Shop_0-6-14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28" t="str">
        <f>Назви!A3</f>
        <v>Процентна ставка, % річних</v>
      </c>
      <c r="C9" s="229">
        <f>Назви!B3</f>
        <v>0</v>
      </c>
      <c r="D9" s="229">
        <f>Назви!C3</f>
        <v>0</v>
      </c>
      <c r="E9" s="229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str">
        <f>Лист2!A6</f>
        <v>Osnova_I-Shop_0-10-24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str">
        <f>Лист2!A7</f>
        <v>Osnova_I-Shop_0-15-24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187" t="str">
        <f>Назви!A5</f>
        <v>Разовий страховий тариф, %</v>
      </c>
      <c r="C11" s="196">
        <f>Назви!B5</f>
        <v>0</v>
      </c>
      <c r="D11" s="196">
        <f>Назви!C5</f>
        <v>0</v>
      </c>
      <c r="E11" s="19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186" t="s">
        <v>41</v>
      </c>
      <c r="C13" s="186"/>
      <c r="D13" s="186"/>
      <c r="E13" s="187"/>
      <c r="F13" s="140">
        <f>VLOOKUP(H$2,Лист2!$A:$J,9,0)</f>
        <v>9</v>
      </c>
      <c r="G13" s="175"/>
      <c r="H13" s="173"/>
      <c r="I13" s="120"/>
      <c r="J13" s="4"/>
      <c r="K13" s="37"/>
      <c r="L13" s="51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215"/>
      <c r="B14" s="215"/>
      <c r="C14" s="215"/>
      <c r="D14" s="215"/>
      <c r="E14" s="215"/>
      <c r="F14" s="215"/>
      <c r="G14" s="215"/>
      <c r="H14" s="215"/>
      <c r="I14" s="215"/>
      <c r="J14" s="51"/>
      <c r="K14" s="37"/>
      <c r="L14" s="5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186" t="s">
        <v>39</v>
      </c>
      <c r="C15" s="186"/>
      <c r="D15" s="186"/>
      <c r="E15" s="187"/>
      <c r="F15" s="156">
        <f>VLOOKUP(H$2,Лист2!$A:$J,10,0)</f>
        <v>0</v>
      </c>
      <c r="G15" s="175"/>
      <c r="H15" s="173"/>
      <c r="I15" s="120"/>
      <c r="J15" s="51"/>
      <c r="K15" s="37"/>
      <c r="L15" s="51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186" t="s">
        <v>40</v>
      </c>
      <c r="C17" s="186"/>
      <c r="D17" s="186"/>
      <c r="E17" s="186"/>
      <c r="F17" s="134">
        <f>VLOOKUP(H$2,Лист2!$A:$K,11,0)</f>
        <v>0.14000000000000001</v>
      </c>
      <c r="G17" s="138"/>
      <c r="H17" s="139"/>
      <c r="I17" s="42"/>
      <c r="J17" s="51"/>
      <c r="K17" s="37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187" t="str">
        <f>Назви!A7</f>
        <v xml:space="preserve">Щомісячна плата за обслуговування кредитної заборгованості, % </v>
      </c>
      <c r="C19" s="196">
        <f>Назви!B7</f>
        <v>0</v>
      </c>
      <c r="D19" s="196">
        <f>Назви!C7</f>
        <v>0</v>
      </c>
      <c r="E19" s="197">
        <f>Назви!D7</f>
        <v>0</v>
      </c>
      <c r="F19" s="134">
        <f>VLOOKUP(H$2,Лист2!$A:$G,6,0)</f>
        <v>3.5000000000000003E-2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187" t="str">
        <f>Назви!A9</f>
        <v>Термін кредитування (міс.)</v>
      </c>
      <c r="C21" s="196">
        <f>Назви!B9</f>
        <v>0</v>
      </c>
      <c r="D21" s="196">
        <f>Назви!C9</f>
        <v>0</v>
      </c>
      <c r="E21" s="197">
        <f>Назви!D9</f>
        <v>0</v>
      </c>
      <c r="F21" s="141">
        <f>VLOOKUP(H$2,Лист2!$A:$G,3,0)</f>
        <v>18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57000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191" t="str">
        <f>Назви!A14</f>
        <v>Орієнтовні загальні витрати за кредитом, грн.</v>
      </c>
      <c r="C24" s="192"/>
      <c r="D24" s="192"/>
      <c r="E24" s="192"/>
      <c r="F24" s="160">
        <f>G100-F5</f>
        <v>24963.550000000017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191" t="str">
        <f>Назви!A16</f>
        <v>Орієнтовна загальна вартість кредиту, грн.</v>
      </c>
      <c r="C26" s="192">
        <f>Назви!B14</f>
        <v>0</v>
      </c>
      <c r="D26" s="192">
        <f>Назви!C14</f>
        <v>0</v>
      </c>
      <c r="E26" s="193">
        <f>Назви!D14</f>
        <v>0</v>
      </c>
      <c r="F26" s="144">
        <f>F5+F24</f>
        <v>74963.550000000017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191" t="str">
        <f>Назви!A18</f>
        <v>Реальна річна процентна ставка, %</v>
      </c>
      <c r="C28" s="192">
        <f>Назви!B16</f>
        <v>0</v>
      </c>
      <c r="D28" s="192">
        <f>Назви!C16</f>
        <v>0</v>
      </c>
      <c r="E28" s="193">
        <f>Назви!D16</f>
        <v>0</v>
      </c>
      <c r="F28" s="147">
        <f ca="1">XIRR(G39:G87,C39:C87)</f>
        <v>0.62163254618644737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194" t="str">
        <f>Назви!A19</f>
        <v>Інший термін</v>
      </c>
      <c r="C30" s="195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189" t="s">
        <v>32</v>
      </c>
      <c r="C31" s="190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189" t="s">
        <v>33</v>
      </c>
      <c r="C32" s="190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189" t="s">
        <v>9</v>
      </c>
      <c r="C33" s="190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189"/>
      <c r="C34" s="190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199" t="str">
        <f>Назви!A26</f>
        <v xml:space="preserve">ГРАФІК СПЛАТИ КРЕДИТУ </v>
      </c>
      <c r="C37" s="200"/>
      <c r="D37" s="200"/>
      <c r="E37" s="200"/>
      <c r="F37" s="200"/>
      <c r="G37" s="200"/>
      <c r="H37" s="20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02" t="str">
        <f>Назви!A27</f>
        <v>Місяць</v>
      </c>
      <c r="C38" s="20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2" t="str">
        <f>Назви!F27</f>
        <v>Загальна сума внесків до повернення в місяць, грн.</v>
      </c>
      <c r="H38" s="20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5" hidden="1" thickBot="1" x14ac:dyDescent="0.25">
      <c r="A39" s="1"/>
      <c r="B39" s="90">
        <v>0</v>
      </c>
      <c r="C39" s="159">
        <f ca="1">TODAY()</f>
        <v>45569</v>
      </c>
      <c r="D39" s="91"/>
      <c r="E39" s="92"/>
      <c r="F39" s="91"/>
      <c r="G39" s="158">
        <f>-F5</f>
        <v>-50000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45600</v>
      </c>
      <c r="D40" s="19">
        <f>IF(B40&lt;=$F$21,$F$7/$F$21,0)</f>
        <v>3166.6666666666665</v>
      </c>
      <c r="E40" s="20">
        <f>IF(AND(B40&gt;F$13,B40&lt;=$F$21),F$7*F$19,0)</f>
        <v>0</v>
      </c>
      <c r="F40" s="182">
        <f>IF(B40&lt;=$F$21,F$7*F$9/12,0)</f>
        <v>0.47500000000000003</v>
      </c>
      <c r="G40" s="198">
        <f t="shared" ref="G40:G71" si="0">IF(B$40&lt;=F$21,D40+E40+F40,0)</f>
        <v>3167.1416666666664</v>
      </c>
      <c r="H40" s="19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45630</v>
      </c>
      <c r="D41" s="19">
        <f t="shared" ref="D41:D87" si="2">IF(B41&lt;=$F$21,$F$7/$F$21,0)</f>
        <v>3166.6666666666665</v>
      </c>
      <c r="E41" s="20">
        <f t="shared" ref="E41:E99" si="3">IF(AND(B41&gt;F$13,B41&lt;=$F$21),F$7*F$19,0)</f>
        <v>0</v>
      </c>
      <c r="F41" s="182">
        <f t="shared" ref="F41:F99" si="4">IF(B41&lt;=$F$21,F$7*F$9/12,0)</f>
        <v>0.47500000000000003</v>
      </c>
      <c r="G41" s="198">
        <f t="shared" si="0"/>
        <v>3167.1416666666664</v>
      </c>
      <c r="H41" s="19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45661</v>
      </c>
      <c r="D42" s="19">
        <f t="shared" si="2"/>
        <v>3166.6666666666665</v>
      </c>
      <c r="E42" s="20">
        <f t="shared" si="3"/>
        <v>0</v>
      </c>
      <c r="F42" s="182">
        <f t="shared" si="4"/>
        <v>0.47500000000000003</v>
      </c>
      <c r="G42" s="198">
        <f t="shared" si="0"/>
        <v>3167.1416666666664</v>
      </c>
      <c r="H42" s="19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45692</v>
      </c>
      <c r="D43" s="19">
        <f t="shared" si="2"/>
        <v>3166.6666666666665</v>
      </c>
      <c r="E43" s="20">
        <f t="shared" si="3"/>
        <v>0</v>
      </c>
      <c r="F43" s="182">
        <f t="shared" si="4"/>
        <v>0.47500000000000003</v>
      </c>
      <c r="G43" s="198">
        <f t="shared" si="0"/>
        <v>3167.1416666666664</v>
      </c>
      <c r="H43" s="19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45720</v>
      </c>
      <c r="D44" s="19">
        <f t="shared" si="2"/>
        <v>3166.6666666666665</v>
      </c>
      <c r="E44" s="20">
        <f t="shared" si="3"/>
        <v>0</v>
      </c>
      <c r="F44" s="182">
        <f t="shared" si="4"/>
        <v>0.47500000000000003</v>
      </c>
      <c r="G44" s="198">
        <f t="shared" si="0"/>
        <v>3167.1416666666664</v>
      </c>
      <c r="H44" s="19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45751</v>
      </c>
      <c r="D45" s="19">
        <f t="shared" si="2"/>
        <v>3166.6666666666665</v>
      </c>
      <c r="E45" s="20">
        <f t="shared" si="3"/>
        <v>0</v>
      </c>
      <c r="F45" s="182">
        <f t="shared" si="4"/>
        <v>0.47500000000000003</v>
      </c>
      <c r="G45" s="198">
        <f t="shared" si="0"/>
        <v>3167.1416666666664</v>
      </c>
      <c r="H45" s="19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45781</v>
      </c>
      <c r="D46" s="19">
        <f t="shared" si="2"/>
        <v>3166.6666666666665</v>
      </c>
      <c r="E46" s="20">
        <f t="shared" si="3"/>
        <v>0</v>
      </c>
      <c r="F46" s="182">
        <f t="shared" si="4"/>
        <v>0.47500000000000003</v>
      </c>
      <c r="G46" s="198">
        <f t="shared" si="0"/>
        <v>3167.1416666666664</v>
      </c>
      <c r="H46" s="19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45812</v>
      </c>
      <c r="D47" s="19">
        <f t="shared" si="2"/>
        <v>3166.6666666666665</v>
      </c>
      <c r="E47" s="20">
        <f t="shared" si="3"/>
        <v>0</v>
      </c>
      <c r="F47" s="182">
        <f t="shared" si="4"/>
        <v>0.47500000000000003</v>
      </c>
      <c r="G47" s="198">
        <f t="shared" si="0"/>
        <v>3167.1416666666664</v>
      </c>
      <c r="H47" s="19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45842</v>
      </c>
      <c r="D48" s="19">
        <f t="shared" si="2"/>
        <v>3166.6666666666665</v>
      </c>
      <c r="E48" s="20">
        <f t="shared" si="3"/>
        <v>0</v>
      </c>
      <c r="F48" s="182">
        <f t="shared" si="4"/>
        <v>0.47500000000000003</v>
      </c>
      <c r="G48" s="198">
        <f t="shared" si="0"/>
        <v>3167.1416666666664</v>
      </c>
      <c r="H48" s="19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45873</v>
      </c>
      <c r="D49" s="19">
        <f t="shared" si="2"/>
        <v>3166.6666666666665</v>
      </c>
      <c r="E49" s="20">
        <f t="shared" si="3"/>
        <v>1995.0000000000002</v>
      </c>
      <c r="F49" s="182">
        <f t="shared" si="4"/>
        <v>0.47500000000000003</v>
      </c>
      <c r="G49" s="198">
        <f t="shared" si="0"/>
        <v>5162.1416666666673</v>
      </c>
      <c r="H49" s="19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45904</v>
      </c>
      <c r="D50" s="19">
        <f t="shared" si="2"/>
        <v>3166.6666666666665</v>
      </c>
      <c r="E50" s="20">
        <f t="shared" si="3"/>
        <v>1995.0000000000002</v>
      </c>
      <c r="F50" s="182">
        <f t="shared" si="4"/>
        <v>0.47500000000000003</v>
      </c>
      <c r="G50" s="198">
        <f t="shared" si="0"/>
        <v>5162.1416666666673</v>
      </c>
      <c r="H50" s="19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45934</v>
      </c>
      <c r="D51" s="19">
        <f t="shared" si="2"/>
        <v>3166.6666666666665</v>
      </c>
      <c r="E51" s="20">
        <f t="shared" si="3"/>
        <v>1995.0000000000002</v>
      </c>
      <c r="F51" s="182">
        <f t="shared" si="4"/>
        <v>0.47500000000000003</v>
      </c>
      <c r="G51" s="198">
        <f t="shared" si="0"/>
        <v>5162.1416666666673</v>
      </c>
      <c r="H51" s="19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45965</v>
      </c>
      <c r="D52" s="19">
        <f t="shared" si="2"/>
        <v>3166.6666666666665</v>
      </c>
      <c r="E52" s="20">
        <f t="shared" si="3"/>
        <v>1995.0000000000002</v>
      </c>
      <c r="F52" s="182">
        <f t="shared" si="4"/>
        <v>0.47500000000000003</v>
      </c>
      <c r="G52" s="198">
        <f t="shared" si="0"/>
        <v>5162.1416666666673</v>
      </c>
      <c r="H52" s="19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45995</v>
      </c>
      <c r="D53" s="19">
        <f t="shared" si="2"/>
        <v>3166.6666666666665</v>
      </c>
      <c r="E53" s="20">
        <f t="shared" si="3"/>
        <v>1995.0000000000002</v>
      </c>
      <c r="F53" s="182">
        <f t="shared" si="4"/>
        <v>0.47500000000000003</v>
      </c>
      <c r="G53" s="198">
        <f t="shared" si="0"/>
        <v>5162.1416666666673</v>
      </c>
      <c r="H53" s="19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46026</v>
      </c>
      <c r="D54" s="19">
        <f t="shared" si="2"/>
        <v>3166.6666666666665</v>
      </c>
      <c r="E54" s="20">
        <f t="shared" si="3"/>
        <v>1995.0000000000002</v>
      </c>
      <c r="F54" s="182">
        <f t="shared" si="4"/>
        <v>0.47500000000000003</v>
      </c>
      <c r="G54" s="198">
        <f t="shared" si="0"/>
        <v>5162.1416666666673</v>
      </c>
      <c r="H54" s="19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46057</v>
      </c>
      <c r="D55" s="19">
        <f t="shared" si="2"/>
        <v>3166.6666666666665</v>
      </c>
      <c r="E55" s="20">
        <f t="shared" si="3"/>
        <v>1995.0000000000002</v>
      </c>
      <c r="F55" s="182">
        <f t="shared" si="4"/>
        <v>0.47500000000000003</v>
      </c>
      <c r="G55" s="198">
        <f t="shared" si="0"/>
        <v>5162.1416666666673</v>
      </c>
      <c r="H55" s="19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46085</v>
      </c>
      <c r="D56" s="19">
        <f t="shared" si="2"/>
        <v>3166.6666666666665</v>
      </c>
      <c r="E56" s="20">
        <f t="shared" si="3"/>
        <v>1995.0000000000002</v>
      </c>
      <c r="F56" s="182">
        <f t="shared" si="4"/>
        <v>0.47500000000000003</v>
      </c>
      <c r="G56" s="198">
        <f t="shared" si="0"/>
        <v>5162.1416666666673</v>
      </c>
      <c r="H56" s="19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46116</v>
      </c>
      <c r="D57" s="19">
        <f t="shared" si="2"/>
        <v>3166.6666666666665</v>
      </c>
      <c r="E57" s="20">
        <f t="shared" si="3"/>
        <v>1995.0000000000002</v>
      </c>
      <c r="F57" s="182">
        <f t="shared" si="4"/>
        <v>0.47500000000000003</v>
      </c>
      <c r="G57" s="198">
        <f t="shared" si="0"/>
        <v>5162.1416666666673</v>
      </c>
      <c r="H57" s="19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46146</v>
      </c>
      <c r="D58" s="19">
        <f t="shared" si="2"/>
        <v>0</v>
      </c>
      <c r="E58" s="20">
        <f t="shared" si="3"/>
        <v>0</v>
      </c>
      <c r="F58" s="182">
        <f t="shared" si="4"/>
        <v>0</v>
      </c>
      <c r="G58" s="198">
        <f t="shared" si="0"/>
        <v>0</v>
      </c>
      <c r="H58" s="19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46177</v>
      </c>
      <c r="D59" s="19">
        <f t="shared" si="2"/>
        <v>0</v>
      </c>
      <c r="E59" s="20">
        <f t="shared" si="3"/>
        <v>0</v>
      </c>
      <c r="F59" s="182">
        <f t="shared" si="4"/>
        <v>0</v>
      </c>
      <c r="G59" s="198">
        <f t="shared" si="0"/>
        <v>0</v>
      </c>
      <c r="H59" s="19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46207</v>
      </c>
      <c r="D60" s="19">
        <f t="shared" si="2"/>
        <v>0</v>
      </c>
      <c r="E60" s="20">
        <f t="shared" si="3"/>
        <v>0</v>
      </c>
      <c r="F60" s="182">
        <f t="shared" si="4"/>
        <v>0</v>
      </c>
      <c r="G60" s="198">
        <f t="shared" si="0"/>
        <v>0</v>
      </c>
      <c r="H60" s="19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46238</v>
      </c>
      <c r="D61" s="19">
        <f t="shared" si="2"/>
        <v>0</v>
      </c>
      <c r="E61" s="20">
        <f t="shared" si="3"/>
        <v>0</v>
      </c>
      <c r="F61" s="182">
        <f t="shared" si="4"/>
        <v>0</v>
      </c>
      <c r="G61" s="198">
        <f t="shared" si="0"/>
        <v>0</v>
      </c>
      <c r="H61" s="19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46269</v>
      </c>
      <c r="D62" s="19">
        <f t="shared" si="2"/>
        <v>0</v>
      </c>
      <c r="E62" s="20">
        <f t="shared" si="3"/>
        <v>0</v>
      </c>
      <c r="F62" s="182">
        <f t="shared" si="4"/>
        <v>0</v>
      </c>
      <c r="G62" s="198">
        <f t="shared" si="0"/>
        <v>0</v>
      </c>
      <c r="H62" s="19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46299</v>
      </c>
      <c r="D63" s="19">
        <f t="shared" si="2"/>
        <v>0</v>
      </c>
      <c r="E63" s="20">
        <f t="shared" si="3"/>
        <v>0</v>
      </c>
      <c r="F63" s="182">
        <f t="shared" si="4"/>
        <v>0</v>
      </c>
      <c r="G63" s="198">
        <f t="shared" si="0"/>
        <v>0</v>
      </c>
      <c r="H63" s="19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46330</v>
      </c>
      <c r="D64" s="19">
        <f t="shared" si="2"/>
        <v>0</v>
      </c>
      <c r="E64" s="20">
        <f t="shared" si="3"/>
        <v>0</v>
      </c>
      <c r="F64" s="182">
        <f t="shared" si="4"/>
        <v>0</v>
      </c>
      <c r="G64" s="198">
        <f t="shared" si="0"/>
        <v>0</v>
      </c>
      <c r="H64" s="19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46360</v>
      </c>
      <c r="D65" s="19">
        <f t="shared" si="2"/>
        <v>0</v>
      </c>
      <c r="E65" s="20">
        <f t="shared" si="3"/>
        <v>0</v>
      </c>
      <c r="F65" s="182">
        <f t="shared" si="4"/>
        <v>0</v>
      </c>
      <c r="G65" s="198">
        <f t="shared" si="0"/>
        <v>0</v>
      </c>
      <c r="H65" s="19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46391</v>
      </c>
      <c r="D66" s="19">
        <f t="shared" si="2"/>
        <v>0</v>
      </c>
      <c r="E66" s="20">
        <f t="shared" si="3"/>
        <v>0</v>
      </c>
      <c r="F66" s="182">
        <f t="shared" si="4"/>
        <v>0</v>
      </c>
      <c r="G66" s="198">
        <f t="shared" si="0"/>
        <v>0</v>
      </c>
      <c r="H66" s="19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46422</v>
      </c>
      <c r="D67" s="19">
        <f t="shared" si="2"/>
        <v>0</v>
      </c>
      <c r="E67" s="20">
        <f t="shared" si="3"/>
        <v>0</v>
      </c>
      <c r="F67" s="182">
        <f t="shared" si="4"/>
        <v>0</v>
      </c>
      <c r="G67" s="198">
        <f t="shared" si="0"/>
        <v>0</v>
      </c>
      <c r="H67" s="19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46450</v>
      </c>
      <c r="D68" s="19">
        <f t="shared" si="2"/>
        <v>0</v>
      </c>
      <c r="E68" s="20">
        <f t="shared" si="3"/>
        <v>0</v>
      </c>
      <c r="F68" s="182">
        <f t="shared" si="4"/>
        <v>0</v>
      </c>
      <c r="G68" s="198">
        <f t="shared" si="0"/>
        <v>0</v>
      </c>
      <c r="H68" s="19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46481</v>
      </c>
      <c r="D69" s="19">
        <f t="shared" si="2"/>
        <v>0</v>
      </c>
      <c r="E69" s="20">
        <f t="shared" si="3"/>
        <v>0</v>
      </c>
      <c r="F69" s="182">
        <f t="shared" si="4"/>
        <v>0</v>
      </c>
      <c r="G69" s="198">
        <f t="shared" si="0"/>
        <v>0</v>
      </c>
      <c r="H69" s="19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46511</v>
      </c>
      <c r="D70" s="19">
        <f t="shared" si="2"/>
        <v>0</v>
      </c>
      <c r="E70" s="20">
        <f t="shared" si="3"/>
        <v>0</v>
      </c>
      <c r="F70" s="182">
        <f t="shared" si="4"/>
        <v>0</v>
      </c>
      <c r="G70" s="198">
        <f t="shared" si="0"/>
        <v>0</v>
      </c>
      <c r="H70" s="19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46542</v>
      </c>
      <c r="D71" s="19">
        <f t="shared" si="2"/>
        <v>0</v>
      </c>
      <c r="E71" s="20">
        <f t="shared" si="3"/>
        <v>0</v>
      </c>
      <c r="F71" s="182">
        <f t="shared" si="4"/>
        <v>0</v>
      </c>
      <c r="G71" s="198">
        <f t="shared" si="0"/>
        <v>0</v>
      </c>
      <c r="H71" s="19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46572</v>
      </c>
      <c r="D72" s="19">
        <f t="shared" si="2"/>
        <v>0</v>
      </c>
      <c r="E72" s="20">
        <f t="shared" si="3"/>
        <v>0</v>
      </c>
      <c r="F72" s="182">
        <f t="shared" si="4"/>
        <v>0</v>
      </c>
      <c r="G72" s="198">
        <f t="shared" ref="G72:G99" si="5">IF(B$40&lt;=F$21,D72+E72+F72,0)</f>
        <v>0</v>
      </c>
      <c r="H72" s="19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46603</v>
      </c>
      <c r="D73" s="19">
        <f t="shared" si="2"/>
        <v>0</v>
      </c>
      <c r="E73" s="20">
        <f t="shared" si="3"/>
        <v>0</v>
      </c>
      <c r="F73" s="182">
        <f t="shared" si="4"/>
        <v>0</v>
      </c>
      <c r="G73" s="198">
        <f t="shared" si="5"/>
        <v>0</v>
      </c>
      <c r="H73" s="19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46634</v>
      </c>
      <c r="D74" s="19">
        <f t="shared" si="2"/>
        <v>0</v>
      </c>
      <c r="E74" s="20">
        <f t="shared" si="3"/>
        <v>0</v>
      </c>
      <c r="F74" s="182">
        <f t="shared" si="4"/>
        <v>0</v>
      </c>
      <c r="G74" s="198">
        <f t="shared" si="5"/>
        <v>0</v>
      </c>
      <c r="H74" s="19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46664</v>
      </c>
      <c r="D75" s="19">
        <f t="shared" si="2"/>
        <v>0</v>
      </c>
      <c r="E75" s="20">
        <f t="shared" si="3"/>
        <v>0</v>
      </c>
      <c r="F75" s="182">
        <f t="shared" si="4"/>
        <v>0</v>
      </c>
      <c r="G75" s="198">
        <f t="shared" si="5"/>
        <v>0</v>
      </c>
      <c r="H75" s="19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46695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198">
        <f t="shared" si="5"/>
        <v>0</v>
      </c>
      <c r="H76" s="19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46725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198">
        <f t="shared" si="5"/>
        <v>0</v>
      </c>
      <c r="H77" s="19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46756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198">
        <f t="shared" si="5"/>
        <v>0</v>
      </c>
      <c r="H78" s="19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46787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198">
        <f t="shared" si="5"/>
        <v>0</v>
      </c>
      <c r="H79" s="19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46816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198">
        <f t="shared" si="5"/>
        <v>0</v>
      </c>
      <c r="H80" s="19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46847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198">
        <f t="shared" si="5"/>
        <v>0</v>
      </c>
      <c r="H81" s="19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46877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198">
        <f t="shared" si="5"/>
        <v>0</v>
      </c>
      <c r="H82" s="19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46908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198">
        <f t="shared" si="5"/>
        <v>0</v>
      </c>
      <c r="H83" s="19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46938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198">
        <f t="shared" si="5"/>
        <v>0</v>
      </c>
      <c r="H84" s="19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46969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198">
        <f t="shared" si="5"/>
        <v>0</v>
      </c>
      <c r="H85" s="19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47000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198">
        <f t="shared" si="5"/>
        <v>0</v>
      </c>
      <c r="H86" s="19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47030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198">
        <f t="shared" si="5"/>
        <v>0</v>
      </c>
      <c r="H87" s="19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47061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06">
        <f t="shared" si="5"/>
        <v>0</v>
      </c>
      <c r="H88" s="20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47091</v>
      </c>
      <c r="D89" s="107">
        <f t="shared" si="6"/>
        <v>0</v>
      </c>
      <c r="E89" s="108">
        <f t="shared" si="3"/>
        <v>0</v>
      </c>
      <c r="F89" s="182">
        <f t="shared" si="4"/>
        <v>0</v>
      </c>
      <c r="G89" s="208">
        <f t="shared" si="5"/>
        <v>0</v>
      </c>
      <c r="H89" s="209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47122</v>
      </c>
      <c r="D90" s="107">
        <f t="shared" si="6"/>
        <v>0</v>
      </c>
      <c r="E90" s="108">
        <f t="shared" si="3"/>
        <v>0</v>
      </c>
      <c r="F90" s="182">
        <f t="shared" si="4"/>
        <v>0</v>
      </c>
      <c r="G90" s="208">
        <f t="shared" si="5"/>
        <v>0</v>
      </c>
      <c r="H90" s="209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47153</v>
      </c>
      <c r="D91" s="107">
        <f t="shared" si="6"/>
        <v>0</v>
      </c>
      <c r="E91" s="108">
        <f t="shared" si="3"/>
        <v>0</v>
      </c>
      <c r="F91" s="182">
        <f t="shared" si="4"/>
        <v>0</v>
      </c>
      <c r="G91" s="208">
        <f t="shared" si="5"/>
        <v>0</v>
      </c>
      <c r="H91" s="209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47181</v>
      </c>
      <c r="D92" s="107">
        <f t="shared" si="6"/>
        <v>0</v>
      </c>
      <c r="E92" s="108">
        <f t="shared" si="3"/>
        <v>0</v>
      </c>
      <c r="F92" s="182">
        <f t="shared" si="4"/>
        <v>0</v>
      </c>
      <c r="G92" s="208">
        <f t="shared" si="5"/>
        <v>0</v>
      </c>
      <c r="H92" s="209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47212</v>
      </c>
      <c r="D93" s="107">
        <f t="shared" si="6"/>
        <v>0</v>
      </c>
      <c r="E93" s="108">
        <f t="shared" si="3"/>
        <v>0</v>
      </c>
      <c r="F93" s="182">
        <f t="shared" si="4"/>
        <v>0</v>
      </c>
      <c r="G93" s="208">
        <f t="shared" si="5"/>
        <v>0</v>
      </c>
      <c r="H93" s="209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47242</v>
      </c>
      <c r="D94" s="107">
        <f t="shared" si="6"/>
        <v>0</v>
      </c>
      <c r="E94" s="108">
        <f t="shared" si="3"/>
        <v>0</v>
      </c>
      <c r="F94" s="182">
        <f t="shared" si="4"/>
        <v>0</v>
      </c>
      <c r="G94" s="208">
        <f t="shared" si="5"/>
        <v>0</v>
      </c>
      <c r="H94" s="209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47273</v>
      </c>
      <c r="D95" s="107">
        <f t="shared" si="6"/>
        <v>0</v>
      </c>
      <c r="E95" s="108">
        <f t="shared" si="3"/>
        <v>0</v>
      </c>
      <c r="F95" s="182">
        <f t="shared" si="4"/>
        <v>0</v>
      </c>
      <c r="G95" s="208">
        <f t="shared" si="5"/>
        <v>0</v>
      </c>
      <c r="H95" s="209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47303</v>
      </c>
      <c r="D96" s="107">
        <f t="shared" si="6"/>
        <v>0</v>
      </c>
      <c r="E96" s="108">
        <f t="shared" si="3"/>
        <v>0</v>
      </c>
      <c r="F96" s="182">
        <f t="shared" si="4"/>
        <v>0</v>
      </c>
      <c r="G96" s="208">
        <f t="shared" si="5"/>
        <v>0</v>
      </c>
      <c r="H96" s="209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47334</v>
      </c>
      <c r="D97" s="107">
        <f t="shared" si="6"/>
        <v>0</v>
      </c>
      <c r="E97" s="108">
        <f t="shared" si="3"/>
        <v>0</v>
      </c>
      <c r="F97" s="182">
        <f t="shared" si="4"/>
        <v>0</v>
      </c>
      <c r="G97" s="208">
        <f t="shared" si="5"/>
        <v>0</v>
      </c>
      <c r="H97" s="209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47365</v>
      </c>
      <c r="D98" s="107">
        <f t="shared" si="6"/>
        <v>0</v>
      </c>
      <c r="E98" s="108">
        <f t="shared" si="3"/>
        <v>0</v>
      </c>
      <c r="F98" s="182">
        <f t="shared" si="4"/>
        <v>0</v>
      </c>
      <c r="G98" s="208">
        <f t="shared" si="5"/>
        <v>0</v>
      </c>
      <c r="H98" s="209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47395</v>
      </c>
      <c r="D99" s="107">
        <f t="shared" si="6"/>
        <v>0</v>
      </c>
      <c r="E99" s="108">
        <f t="shared" si="3"/>
        <v>0</v>
      </c>
      <c r="F99" s="182">
        <f t="shared" si="4"/>
        <v>0</v>
      </c>
      <c r="G99" s="208">
        <f t="shared" si="5"/>
        <v>0</v>
      </c>
      <c r="H99" s="209"/>
      <c r="I99" s="104"/>
      <c r="J99" s="104"/>
    </row>
    <row r="100" spans="1:19" s="4" customFormat="1" ht="16.5" thickBot="1" x14ac:dyDescent="0.25">
      <c r="A100" s="43"/>
      <c r="B100" s="204" t="s">
        <v>1</v>
      </c>
      <c r="C100" s="205"/>
      <c r="D100" s="93">
        <f>SUM(D40:D99)</f>
        <v>56999.999999999985</v>
      </c>
      <c r="E100" s="93">
        <f>SUM(E40:E99)</f>
        <v>17955.000000000004</v>
      </c>
      <c r="F100" s="99">
        <f>SUM(F40:F99)</f>
        <v>8.5499999999999972</v>
      </c>
      <c r="G100" s="211">
        <f>SUM(G40:H99)</f>
        <v>74963.550000000017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10" t="s">
        <v>6</v>
      </c>
      <c r="F102" s="210"/>
      <c r="G102" s="210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HqErIOdx6USYsJ6YgeQrZRfhelDpxQBC9Xzgd5kr81LLtqL2cvLrw2j5RThP+xZeZuaqiRvrXT+P9cQuYzf1VA==" saltValue="KX8w9iFQCmT66E/jpClvig==" spinCount="100000" sheet="1"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$L$7:$L$10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9" t="s">
        <v>154</v>
      </c>
      <c r="E5" s="179" t="s">
        <v>49</v>
      </c>
    </row>
    <row r="6" spans="2:11" ht="13.15" customHeight="1" x14ac:dyDescent="0.2">
      <c r="B6" s="231" t="s">
        <v>155</v>
      </c>
      <c r="C6" s="232"/>
      <c r="D6" s="178" t="s">
        <v>61</v>
      </c>
      <c r="E6" s="178" t="s">
        <v>62</v>
      </c>
    </row>
    <row r="7" spans="2:11" x14ac:dyDescent="0.2">
      <c r="B7" s="233"/>
      <c r="C7" s="234"/>
      <c r="D7" s="178" t="s">
        <v>63</v>
      </c>
      <c r="E7" s="178" t="s">
        <v>64</v>
      </c>
    </row>
    <row r="8" spans="2:11" x14ac:dyDescent="0.2">
      <c r="B8" s="233"/>
      <c r="C8" s="234"/>
      <c r="D8" s="178" t="s">
        <v>65</v>
      </c>
      <c r="E8" s="178" t="s">
        <v>66</v>
      </c>
    </row>
    <row r="9" spans="2:11" x14ac:dyDescent="0.2">
      <c r="B9" s="233"/>
      <c r="C9" s="234"/>
      <c r="D9" s="178" t="s">
        <v>67</v>
      </c>
      <c r="E9" s="178" t="s">
        <v>68</v>
      </c>
    </row>
    <row r="10" spans="2:11" x14ac:dyDescent="0.2">
      <c r="B10" s="233"/>
      <c r="C10" s="234"/>
      <c r="D10" s="178" t="s">
        <v>69</v>
      </c>
      <c r="E10" s="178" t="s">
        <v>57</v>
      </c>
    </row>
    <row r="11" spans="2:11" x14ac:dyDescent="0.2">
      <c r="B11" s="233"/>
      <c r="C11" s="234"/>
      <c r="D11" s="178" t="s">
        <v>70</v>
      </c>
      <c r="E11" s="178" t="s">
        <v>71</v>
      </c>
    </row>
    <row r="12" spans="2:11" x14ac:dyDescent="0.2">
      <c r="B12" s="233"/>
      <c r="C12" s="234"/>
      <c r="D12" s="178" t="s">
        <v>72</v>
      </c>
      <c r="E12" s="178" t="s">
        <v>73</v>
      </c>
    </row>
    <row r="13" spans="2:11" x14ac:dyDescent="0.2">
      <c r="B13" s="233"/>
      <c r="C13" s="234"/>
      <c r="D13" s="178" t="s">
        <v>74</v>
      </c>
      <c r="E13" s="178" t="s">
        <v>75</v>
      </c>
    </row>
    <row r="14" spans="2:11" x14ac:dyDescent="0.2">
      <c r="B14" s="233"/>
      <c r="C14" s="234"/>
      <c r="D14" s="178" t="s">
        <v>76</v>
      </c>
      <c r="E14" s="178" t="s">
        <v>77</v>
      </c>
    </row>
    <row r="15" spans="2:11" x14ac:dyDescent="0.2">
      <c r="B15" s="233"/>
      <c r="C15" s="234"/>
      <c r="D15" s="178" t="s">
        <v>78</v>
      </c>
      <c r="E15" s="178" t="s">
        <v>79</v>
      </c>
    </row>
    <row r="16" spans="2:11" x14ac:dyDescent="0.2">
      <c r="B16" s="233"/>
      <c r="C16" s="234"/>
      <c r="D16" s="178" t="s">
        <v>80</v>
      </c>
      <c r="E16" s="178" t="s">
        <v>81</v>
      </c>
    </row>
    <row r="17" spans="2:5" x14ac:dyDescent="0.2">
      <c r="B17" s="233"/>
      <c r="C17" s="234"/>
      <c r="D17" s="178" t="s">
        <v>82</v>
      </c>
      <c r="E17" s="178" t="s">
        <v>83</v>
      </c>
    </row>
    <row r="18" spans="2:5" x14ac:dyDescent="0.2">
      <c r="B18" s="233"/>
      <c r="C18" s="234"/>
      <c r="D18" s="178" t="s">
        <v>84</v>
      </c>
      <c r="E18" s="178" t="s">
        <v>85</v>
      </c>
    </row>
    <row r="19" spans="2:5" x14ac:dyDescent="0.2">
      <c r="B19" s="233"/>
      <c r="C19" s="234"/>
      <c r="D19" s="178" t="s">
        <v>86</v>
      </c>
      <c r="E19" s="178" t="s">
        <v>87</v>
      </c>
    </row>
    <row r="20" spans="2:5" x14ac:dyDescent="0.2">
      <c r="B20" s="233"/>
      <c r="C20" s="234"/>
      <c r="D20" s="178" t="s">
        <v>88</v>
      </c>
      <c r="E20" s="178" t="s">
        <v>89</v>
      </c>
    </row>
    <row r="21" spans="2:5" x14ac:dyDescent="0.2">
      <c r="B21" s="233"/>
      <c r="C21" s="234"/>
      <c r="D21" s="178" t="s">
        <v>90</v>
      </c>
      <c r="E21" s="178" t="s">
        <v>91</v>
      </c>
    </row>
    <row r="22" spans="2:5" x14ac:dyDescent="0.2">
      <c r="B22" s="233"/>
      <c r="C22" s="234"/>
      <c r="D22" s="178" t="s">
        <v>92</v>
      </c>
      <c r="E22" s="178" t="s">
        <v>93</v>
      </c>
    </row>
    <row r="23" spans="2:5" x14ac:dyDescent="0.2">
      <c r="B23" s="233"/>
      <c r="C23" s="234"/>
      <c r="D23" s="178" t="s">
        <v>94</v>
      </c>
      <c r="E23" s="178" t="s">
        <v>95</v>
      </c>
    </row>
    <row r="24" spans="2:5" x14ac:dyDescent="0.2">
      <c r="B24" s="233"/>
      <c r="C24" s="234"/>
      <c r="D24" s="178" t="s">
        <v>96</v>
      </c>
      <c r="E24" s="178" t="s">
        <v>97</v>
      </c>
    </row>
    <row r="25" spans="2:5" x14ac:dyDescent="0.2">
      <c r="B25" s="233"/>
      <c r="C25" s="234"/>
      <c r="D25" s="178" t="s">
        <v>98</v>
      </c>
      <c r="E25" s="178" t="s">
        <v>99</v>
      </c>
    </row>
    <row r="26" spans="2:5" x14ac:dyDescent="0.2">
      <c r="B26" s="233"/>
      <c r="C26" s="234"/>
      <c r="D26" s="178" t="s">
        <v>100</v>
      </c>
      <c r="E26" s="178" t="s">
        <v>101</v>
      </c>
    </row>
    <row r="27" spans="2:5" x14ac:dyDescent="0.2">
      <c r="B27" s="233"/>
      <c r="C27" s="234"/>
      <c r="D27" s="178" t="s">
        <v>102</v>
      </c>
      <c r="E27" s="178" t="s">
        <v>103</v>
      </c>
    </row>
    <row r="28" spans="2:5" x14ac:dyDescent="0.2">
      <c r="B28" s="233"/>
      <c r="C28" s="234"/>
      <c r="D28" s="178" t="s">
        <v>104</v>
      </c>
      <c r="E28" s="178" t="s">
        <v>105</v>
      </c>
    </row>
    <row r="29" spans="2:5" x14ac:dyDescent="0.2">
      <c r="B29" s="233"/>
      <c r="C29" s="234"/>
      <c r="D29" s="178" t="s">
        <v>50</v>
      </c>
      <c r="E29" s="178" t="s">
        <v>51</v>
      </c>
    </row>
    <row r="30" spans="2:5" x14ac:dyDescent="0.2">
      <c r="B30" s="233"/>
      <c r="C30" s="234"/>
      <c r="D30" s="178" t="s">
        <v>106</v>
      </c>
      <c r="E30" s="178" t="s">
        <v>107</v>
      </c>
    </row>
    <row r="31" spans="2:5" x14ac:dyDescent="0.2">
      <c r="B31" s="233"/>
      <c r="C31" s="234"/>
      <c r="D31" s="178" t="s">
        <v>108</v>
      </c>
      <c r="E31" s="178" t="s">
        <v>109</v>
      </c>
    </row>
    <row r="32" spans="2:5" x14ac:dyDescent="0.2">
      <c r="B32" s="233"/>
      <c r="C32" s="234"/>
      <c r="D32" s="178" t="s">
        <v>110</v>
      </c>
      <c r="E32" s="178" t="s">
        <v>52</v>
      </c>
    </row>
    <row r="33" spans="2:5" x14ac:dyDescent="0.2">
      <c r="B33" s="233"/>
      <c r="C33" s="234"/>
      <c r="D33" s="178" t="s">
        <v>111</v>
      </c>
      <c r="E33" s="178" t="s">
        <v>112</v>
      </c>
    </row>
    <row r="34" spans="2:5" x14ac:dyDescent="0.2">
      <c r="B34" s="233"/>
      <c r="C34" s="234"/>
      <c r="D34" s="178" t="s">
        <v>113</v>
      </c>
      <c r="E34" s="178" t="s">
        <v>114</v>
      </c>
    </row>
    <row r="35" spans="2:5" x14ac:dyDescent="0.2">
      <c r="B35" s="233"/>
      <c r="C35" s="234"/>
      <c r="D35" s="178" t="s">
        <v>117</v>
      </c>
      <c r="E35" s="178" t="s">
        <v>118</v>
      </c>
    </row>
    <row r="36" spans="2:5" x14ac:dyDescent="0.2">
      <c r="B36" s="233"/>
      <c r="C36" s="234"/>
      <c r="D36" s="178" t="s">
        <v>119</v>
      </c>
      <c r="E36" s="178" t="s">
        <v>120</v>
      </c>
    </row>
    <row r="37" spans="2:5" x14ac:dyDescent="0.2">
      <c r="B37" s="233"/>
      <c r="C37" s="234"/>
      <c r="D37" s="178" t="s">
        <v>121</v>
      </c>
      <c r="E37" s="178" t="s">
        <v>122</v>
      </c>
    </row>
    <row r="38" spans="2:5" x14ac:dyDescent="0.2">
      <c r="B38" s="233"/>
      <c r="C38" s="234"/>
      <c r="D38" s="178" t="s">
        <v>123</v>
      </c>
      <c r="E38" s="178" t="s">
        <v>124</v>
      </c>
    </row>
    <row r="39" spans="2:5" x14ac:dyDescent="0.2">
      <c r="B39" s="233"/>
      <c r="C39" s="234"/>
      <c r="D39" s="178" t="s">
        <v>125</v>
      </c>
      <c r="E39" s="178" t="s">
        <v>126</v>
      </c>
    </row>
    <row r="40" spans="2:5" x14ac:dyDescent="0.2">
      <c r="B40" s="233"/>
      <c r="C40" s="234"/>
      <c r="D40" s="178" t="s">
        <v>53</v>
      </c>
      <c r="E40" s="178" t="s">
        <v>127</v>
      </c>
    </row>
    <row r="41" spans="2:5" x14ac:dyDescent="0.2">
      <c r="B41" s="233"/>
      <c r="C41" s="234"/>
      <c r="D41" s="178" t="s">
        <v>128</v>
      </c>
      <c r="E41" s="178" t="s">
        <v>129</v>
      </c>
    </row>
    <row r="42" spans="2:5" x14ac:dyDescent="0.2">
      <c r="B42" s="233"/>
      <c r="C42" s="234"/>
      <c r="D42" s="178" t="s">
        <v>130</v>
      </c>
      <c r="E42" s="178" t="s">
        <v>131</v>
      </c>
    </row>
    <row r="43" spans="2:5" x14ac:dyDescent="0.2">
      <c r="B43" s="233"/>
      <c r="C43" s="234"/>
      <c r="D43" s="178" t="s">
        <v>132</v>
      </c>
      <c r="E43" s="178" t="s">
        <v>133</v>
      </c>
    </row>
    <row r="44" spans="2:5" x14ac:dyDescent="0.2">
      <c r="B44" s="233"/>
      <c r="C44" s="234"/>
      <c r="D44" s="178" t="s">
        <v>134</v>
      </c>
      <c r="E44" s="178" t="s">
        <v>135</v>
      </c>
    </row>
    <row r="45" spans="2:5" x14ac:dyDescent="0.2">
      <c r="B45" s="233"/>
      <c r="C45" s="234"/>
      <c r="D45" s="178" t="s">
        <v>54</v>
      </c>
      <c r="E45" s="178" t="s">
        <v>55</v>
      </c>
    </row>
    <row r="46" spans="2:5" x14ac:dyDescent="0.2">
      <c r="B46" s="233"/>
      <c r="C46" s="234"/>
      <c r="D46" s="178" t="s">
        <v>136</v>
      </c>
      <c r="E46" s="178" t="s">
        <v>137</v>
      </c>
    </row>
    <row r="47" spans="2:5" x14ac:dyDescent="0.2">
      <c r="B47" s="233"/>
      <c r="C47" s="234"/>
      <c r="D47" s="178" t="s">
        <v>138</v>
      </c>
      <c r="E47" s="178" t="s">
        <v>56</v>
      </c>
    </row>
    <row r="48" spans="2:5" x14ac:dyDescent="0.2">
      <c r="B48" s="233"/>
      <c r="C48" s="234"/>
      <c r="D48" s="178" t="s">
        <v>139</v>
      </c>
      <c r="E48" s="178" t="s">
        <v>140</v>
      </c>
    </row>
    <row r="49" spans="2:5" x14ac:dyDescent="0.2">
      <c r="B49" s="233"/>
      <c r="C49" s="234"/>
      <c r="D49" s="178" t="s">
        <v>141</v>
      </c>
      <c r="E49" s="178" t="s">
        <v>142</v>
      </c>
    </row>
    <row r="50" spans="2:5" x14ac:dyDescent="0.2">
      <c r="B50" s="233"/>
      <c r="C50" s="234"/>
      <c r="D50" s="178" t="s">
        <v>145</v>
      </c>
      <c r="E50" s="178" t="s">
        <v>146</v>
      </c>
    </row>
    <row r="51" spans="2:5" x14ac:dyDescent="0.2">
      <c r="B51" s="233"/>
      <c r="C51" s="234"/>
      <c r="D51" s="178" t="s">
        <v>147</v>
      </c>
      <c r="E51" s="178" t="s">
        <v>148</v>
      </c>
    </row>
    <row r="52" spans="2:5" x14ac:dyDescent="0.2">
      <c r="B52" s="233"/>
      <c r="C52" s="234"/>
      <c r="D52" s="178" t="s">
        <v>149</v>
      </c>
      <c r="E52" s="178" t="s">
        <v>150</v>
      </c>
    </row>
    <row r="53" spans="2:5" ht="13.15" customHeight="1" x14ac:dyDescent="0.2">
      <c r="B53" s="235"/>
      <c r="C53" s="236"/>
      <c r="D53" s="178" t="s">
        <v>58</v>
      </c>
      <c r="E53" s="178" t="s">
        <v>59</v>
      </c>
    </row>
    <row r="54" spans="2:5" x14ac:dyDescent="0.2">
      <c r="B54" s="237" t="s">
        <v>152</v>
      </c>
      <c r="C54" s="238"/>
      <c r="D54" s="183" t="s">
        <v>115</v>
      </c>
      <c r="E54" s="183" t="s">
        <v>116</v>
      </c>
    </row>
    <row r="55" spans="2:5" x14ac:dyDescent="0.2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46" t="s">
        <v>16</v>
      </c>
      <c r="B1" s="247"/>
      <c r="C1" s="247"/>
      <c r="D1" s="24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41" t="s">
        <v>44</v>
      </c>
      <c r="B3" s="242">
        <v>0</v>
      </c>
      <c r="C3" s="242">
        <v>0</v>
      </c>
      <c r="D3" s="24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41" t="s">
        <v>45</v>
      </c>
      <c r="B5" s="242">
        <v>0</v>
      </c>
      <c r="C5" s="242">
        <v>0</v>
      </c>
      <c r="D5" s="24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41" t="s">
        <v>46</v>
      </c>
      <c r="B7" s="242">
        <v>0</v>
      </c>
      <c r="C7" s="242">
        <v>0</v>
      </c>
      <c r="D7" s="24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41" t="s">
        <v>158</v>
      </c>
      <c r="B9" s="242"/>
      <c r="C9" s="242"/>
      <c r="D9" s="24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41" t="s">
        <v>157</v>
      </c>
      <c r="B12" s="242">
        <v>0</v>
      </c>
      <c r="C12" s="242">
        <v>0</v>
      </c>
      <c r="D12" s="24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41" t="s">
        <v>47</v>
      </c>
      <c r="B14" s="242">
        <v>0</v>
      </c>
      <c r="C14" s="242">
        <v>0</v>
      </c>
      <c r="D14" s="24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41" t="s">
        <v>156</v>
      </c>
      <c r="B16" s="242">
        <v>0</v>
      </c>
      <c r="C16" s="242">
        <v>0</v>
      </c>
      <c r="D16" s="24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44" t="s">
        <v>8</v>
      </c>
      <c r="B19" s="24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9" t="s">
        <v>20</v>
      </c>
      <c r="B20" s="250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9" t="s">
        <v>9</v>
      </c>
      <c r="B21" s="250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9" t="s">
        <v>18</v>
      </c>
      <c r="B22" s="250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9" t="s">
        <v>19</v>
      </c>
      <c r="B23" s="250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52" t="s">
        <v>30</v>
      </c>
      <c r="B26" s="253"/>
      <c r="C26" s="253"/>
      <c r="D26" s="253"/>
      <c r="E26" s="253"/>
      <c r="F26" s="253"/>
      <c r="G26" s="254"/>
    </row>
    <row r="27" spans="1:8" ht="45.75" thickBot="1" x14ac:dyDescent="0.25">
      <c r="A27" s="255" t="s">
        <v>2</v>
      </c>
      <c r="B27" s="256"/>
      <c r="C27" s="83" t="s">
        <v>4</v>
      </c>
      <c r="D27" s="83" t="s">
        <v>17</v>
      </c>
      <c r="E27" s="83" t="s">
        <v>5</v>
      </c>
      <c r="F27" s="257" t="s">
        <v>3</v>
      </c>
      <c r="G27" s="258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51"/>
      <c r="E29" s="251"/>
      <c r="F29" s="251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"/>
  <sheetViews>
    <sheetView zoomScale="85" zoomScaleNormal="85" workbookViewId="0">
      <selection activeCell="P8" sqref="P8"/>
    </sheetView>
  </sheetViews>
  <sheetFormatPr defaultColWidth="9.140625" defaultRowHeight="12.75" x14ac:dyDescent="0.2"/>
  <cols>
    <col min="1" max="1" width="35.140625" style="116" bestFit="1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87719.3</v>
      </c>
      <c r="C4" s="151">
        <v>18</v>
      </c>
      <c r="D4" s="152">
        <v>1E-4</v>
      </c>
      <c r="E4" s="152">
        <v>0</v>
      </c>
      <c r="F4" s="152">
        <v>3.5000000000000003E-2</v>
      </c>
      <c r="G4" s="151" t="str">
        <f t="shared" ref="G4:G5" si="0">I$2&amp;" "&amp;B4&amp;" "&amp;H$2</f>
        <v>max. 87719,3 грн.</v>
      </c>
      <c r="H4" s="185">
        <f t="shared" ref="H4:H7" si="1">B4+B4*K4</f>
        <v>100000.00200000001</v>
      </c>
      <c r="I4" s="151">
        <v>9</v>
      </c>
      <c r="K4" s="184">
        <v>0.14000000000000001</v>
      </c>
      <c r="L4" s="153">
        <f t="shared" ref="L4:L6" si="2">D4/12/(1-1/POWER(1+D4/12,C4))*H4+H4*F4</f>
        <v>9055.9955618459153</v>
      </c>
      <c r="M4" s="154">
        <f t="shared" ref="M4:M5" si="3">F4</f>
        <v>3.5000000000000003E-2</v>
      </c>
      <c r="N4" s="154"/>
      <c r="O4" s="155">
        <v>0</v>
      </c>
      <c r="P4" s="151">
        <v>877.2</v>
      </c>
    </row>
    <row r="5" spans="1:16" x14ac:dyDescent="0.2">
      <c r="A5" s="151" t="s">
        <v>161</v>
      </c>
      <c r="B5" s="121">
        <v>91743.12</v>
      </c>
      <c r="C5" s="151">
        <v>14</v>
      </c>
      <c r="D5" s="152">
        <v>1E-4</v>
      </c>
      <c r="E5" s="152">
        <v>0</v>
      </c>
      <c r="F5" s="152">
        <v>3.5000000000000003E-2</v>
      </c>
      <c r="G5" s="151" t="str">
        <f t="shared" si="0"/>
        <v>max. 91743,12 грн.</v>
      </c>
      <c r="H5" s="185">
        <f t="shared" si="1"/>
        <v>100000.00079999999</v>
      </c>
      <c r="I5" s="151">
        <v>6</v>
      </c>
      <c r="J5" s="151"/>
      <c r="K5" s="184">
        <v>0.09</v>
      </c>
      <c r="L5" s="153">
        <f t="shared" si="2"/>
        <v>10643.303664604526</v>
      </c>
      <c r="M5" s="154">
        <f t="shared" si="3"/>
        <v>3.5000000000000003E-2</v>
      </c>
      <c r="N5" s="154"/>
      <c r="O5" s="155">
        <v>0</v>
      </c>
      <c r="P5" s="151">
        <v>917.43</v>
      </c>
    </row>
    <row r="6" spans="1:16" x14ac:dyDescent="0.2">
      <c r="A6" s="151" t="s">
        <v>162</v>
      </c>
      <c r="B6" s="121">
        <v>90909.09</v>
      </c>
      <c r="C6" s="151">
        <v>24</v>
      </c>
      <c r="D6" s="152">
        <v>1E-4</v>
      </c>
      <c r="E6" s="152">
        <v>0</v>
      </c>
      <c r="F6" s="152">
        <v>3.9899999999999998E-2</v>
      </c>
      <c r="G6" s="151" t="str">
        <f>I$2&amp;" "&amp;B6&amp;" "&amp;H$2</f>
        <v>max. 90909,09 грн.</v>
      </c>
      <c r="H6" s="185">
        <f t="shared" si="1"/>
        <v>99999.998999999996</v>
      </c>
      <c r="I6" s="151">
        <v>10</v>
      </c>
      <c r="J6" s="151"/>
      <c r="K6" s="184">
        <v>0.1</v>
      </c>
      <c r="L6" s="153">
        <f t="shared" si="2"/>
        <v>8157.1006267160883</v>
      </c>
      <c r="M6" s="154">
        <f>F6</f>
        <v>3.9899999999999998E-2</v>
      </c>
      <c r="N6" s="154"/>
      <c r="O6" s="155">
        <v>0</v>
      </c>
      <c r="P6" s="151">
        <v>909.09</v>
      </c>
    </row>
    <row r="7" spans="1:16" x14ac:dyDescent="0.2">
      <c r="A7" s="151" t="s">
        <v>163</v>
      </c>
      <c r="B7" s="121">
        <v>83333.33</v>
      </c>
      <c r="C7" s="151">
        <v>24</v>
      </c>
      <c r="D7" s="152">
        <v>1E-4</v>
      </c>
      <c r="E7" s="152">
        <v>0</v>
      </c>
      <c r="F7" s="152">
        <v>3.5000000000000003E-2</v>
      </c>
      <c r="G7" s="151" t="str">
        <f>I$2&amp;" "&amp;B7&amp;" "&amp;H$2</f>
        <v>max. 83333,33 грн.</v>
      </c>
      <c r="H7" s="185">
        <f t="shared" si="1"/>
        <v>99999.995999999999</v>
      </c>
      <c r="I7" s="151">
        <v>15</v>
      </c>
      <c r="J7" s="151"/>
      <c r="K7" s="184">
        <v>0.2</v>
      </c>
      <c r="L7" s="153">
        <f t="shared" ref="L7" si="4">D7/12/(1-1/POWER(1+D7/12,C7))*H7+H7*F7</f>
        <v>7667.1004016030674</v>
      </c>
      <c r="M7" s="154">
        <f>F7</f>
        <v>3.5000000000000003E-2</v>
      </c>
      <c r="N7" s="154"/>
      <c r="O7" s="155">
        <v>0</v>
      </c>
      <c r="P7" s="151">
        <v>833.33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I-Shop_Грейсові</vt:lpstr>
      <vt:lpstr>Перелік партнерів</vt:lpstr>
      <vt:lpstr>Назви</vt:lpstr>
      <vt:lpstr>Лист2</vt:lpstr>
      <vt:lpstr>'I-Shop_Грейсові'!Область_друку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2024-10-04T05:30:45Z</dcterms:modified>
</cp:coreProperties>
</file>