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I-Shop_Satellite\"/>
    </mc:Choice>
  </mc:AlternateContent>
  <xr:revisionPtr revIDLastSave="0" documentId="13_ncr:1_{D77C6399-B3A3-4B70-8141-FD08BA4FBF32}" xr6:coauthVersionLast="47" xr6:coauthVersionMax="47" xr10:uidLastSave="{00000000-0000-0000-0000-000000000000}"/>
  <workbookProtection workbookAlgorithmName="SHA-512" workbookHashValue="9uz0LIojQhE4qS3hcc9uU3lq/5gEdhFrIzlhpzDdkeJs4u6TaWLIKmb9w83z2EUbQg0j116peT/2F/OR3GvDKQ==" workbookSaltValue="Duhz4kjCOwxY+uES6lk7ag==" workbookSpinCount="100000" lockStructure="1"/>
  <bookViews>
    <workbookView xWindow="-120" yWindow="-120" windowWidth="29040" windowHeight="15990" tabRatio="863" xr2:uid="{00000000-000D-0000-FFFF-FFFF00000000}"/>
  </bookViews>
  <sheets>
    <sheet name="Satellite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Satellite!$A$1:$I$103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H4" i="165" l="1"/>
  <c r="E2" i="164" l="1"/>
  <c r="G39" i="164" l="1"/>
  <c r="L9" i="164" l="1"/>
  <c r="L10" i="164"/>
  <c r="G4" i="165" l="1"/>
  <c r="L17" i="164" l="1"/>
  <c r="L12" i="164" l="1"/>
  <c r="L13" i="164"/>
  <c r="L14" i="164"/>
  <c r="L15" i="164"/>
  <c r="L16" i="164"/>
  <c r="G2" i="164" l="1"/>
  <c r="B28" i="164"/>
  <c r="B26" i="164"/>
  <c r="B24" i="164"/>
  <c r="B11" i="164"/>
  <c r="F17" i="164" l="1"/>
  <c r="L8" i="164"/>
  <c r="L11" i="164"/>
  <c r="M4" i="165"/>
  <c r="L7" i="164"/>
  <c r="H3" i="164" l="1"/>
  <c r="F2" i="164"/>
  <c r="F21" i="164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G3" i="164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64" i="164" l="1"/>
  <c r="F68" i="164"/>
  <c r="F72" i="164"/>
  <c r="F76" i="164"/>
  <c r="F80" i="164"/>
  <c r="F84" i="164"/>
  <c r="F88" i="164"/>
  <c r="F92" i="164"/>
  <c r="F96" i="164"/>
  <c r="F65" i="164"/>
  <c r="F69" i="164"/>
  <c r="F73" i="164"/>
  <c r="F77" i="164"/>
  <c r="F81" i="164"/>
  <c r="F85" i="164"/>
  <c r="F89" i="164"/>
  <c r="F93" i="164"/>
  <c r="F97" i="164"/>
  <c r="F66" i="164"/>
  <c r="F70" i="164"/>
  <c r="F74" i="164"/>
  <c r="F78" i="164"/>
  <c r="F82" i="164"/>
  <c r="F86" i="164"/>
  <c r="F90" i="164"/>
  <c r="F94" i="164"/>
  <c r="F98" i="164"/>
  <c r="F67" i="164"/>
  <c r="F71" i="164"/>
  <c r="F75" i="164"/>
  <c r="F79" i="164"/>
  <c r="F83" i="164"/>
  <c r="F87" i="164"/>
  <c r="F91" i="164"/>
  <c r="F95" i="164"/>
  <c r="F99" i="164"/>
  <c r="F22" i="16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75" i="164"/>
  <c r="E89" i="164"/>
  <c r="E92" i="164"/>
  <c r="E84" i="164"/>
  <c r="E64" i="164"/>
  <c r="D59" i="164" l="1"/>
  <c r="F43" i="164"/>
  <c r="F47" i="164"/>
  <c r="F51" i="164"/>
  <c r="F55" i="164"/>
  <c r="F59" i="164"/>
  <c r="F63" i="164"/>
  <c r="F44" i="164"/>
  <c r="F48" i="164"/>
  <c r="F52" i="164"/>
  <c r="F56" i="164"/>
  <c r="F60" i="164"/>
  <c r="F40" i="164"/>
  <c r="F41" i="164"/>
  <c r="F45" i="164"/>
  <c r="F49" i="164"/>
  <c r="F53" i="164"/>
  <c r="F57" i="164"/>
  <c r="F61" i="164"/>
  <c r="F42" i="164"/>
  <c r="F46" i="164"/>
  <c r="F50" i="164"/>
  <c r="F54" i="164"/>
  <c r="F58" i="164"/>
  <c r="F62" i="164"/>
  <c r="E71" i="164"/>
  <c r="E44" i="164"/>
  <c r="E82" i="164"/>
  <c r="E87" i="164"/>
  <c r="E86" i="164"/>
  <c r="E77" i="164"/>
  <c r="D87" i="164"/>
  <c r="D83" i="164"/>
  <c r="G83" i="164" s="1"/>
  <c r="D79" i="164"/>
  <c r="G79" i="164" s="1"/>
  <c r="D75" i="164"/>
  <c r="G75" i="164" s="1"/>
  <c r="D71" i="164"/>
  <c r="D67" i="164"/>
  <c r="D84" i="164"/>
  <c r="G84" i="164" s="1"/>
  <c r="D80" i="164"/>
  <c r="G80" i="164" s="1"/>
  <c r="D76" i="164"/>
  <c r="G76" i="164" s="1"/>
  <c r="D72" i="164"/>
  <c r="D68" i="164"/>
  <c r="D64" i="164"/>
  <c r="G64" i="164" s="1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E3" i="164"/>
  <c r="F3" i="164" s="1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 l="1"/>
  <c r="G71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<sst xmlns="http://schemas.openxmlformats.org/spreadsheetml/2006/main" count="169" uniqueCount="161">
  <si>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</si>
  <si>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</si>
  <si>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</si>
  <si>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</si>
  <si>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</si>
  <si>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</si>
  <si>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</si>
  <si>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</si>
  <si>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</si>
  <si>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</si>
  <si>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</si>
  <si>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</si>
  <si>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</si>
  <si>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</si>
  <si>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</si>
  <si>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</si>
  <si>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</si>
  <si>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</si>
  <si>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</si>
  <si>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</si>
  <si>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</si>
  <si>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</si>
  <si>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</si>
  <si>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</si>
  <si>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</si>
  <si>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</si>
  <si>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</si>
  <si>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</si>
  <si>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</si>
  <si>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</si>
  <si>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</si>
  <si>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</si>
  <si>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</si>
  <si>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</si>
  <si>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</si>
  <si>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</si>
  <si>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</si>
  <si>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</si>
  <si>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</si>
  <si>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</si>
  <si>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</si>
  <si>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</si>
  <si>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</si>
  <si>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</si>
  <si>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</si>
  <si>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</si>
  <si>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</si>
  <si>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</si>
  <si>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</si>
  <si>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</si>
  <si>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</si>
  <si>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</si>
  <si>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</si>
  <si>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</si>
  <si>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</si>
  <si>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</si>
  <si>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</si>
  <si>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</si>
  <si>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</si>
  <si>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</si>
  <si>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</si>
  <si>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</si>
  <si>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</si>
  <si>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</si>
  <si>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</si>
  <si>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</si>
  <si>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</si>
  <si>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</si>
  <si>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</si>
  <si>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</si>
  <si>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</si>
  <si>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</si>
  <si>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</si>
  <si>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</si>
  <si>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</si>
  <si>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</si>
  <si>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</si>
  <si>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</si>
  <si>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</si>
  <si>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</si>
  <si>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</si>
  <si>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</si>
  <si>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</si>
  <si>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</si>
  <si>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</si>
  <si>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</si>
  <si>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</si>
  <si>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</si>
  <si>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</si>
  <si>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</si>
  <si>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</si>
  <si>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</si>
  <si>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</si>
  <si>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</si>
  <si>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</si>
  <si>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</si>
  <si>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</si>
  <si>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</si>
  <si>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</si>
  <si>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</si>
  <si>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</si>
  <si>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</si>
  <si>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</si>
  <si>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</si>
  <si>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</si>
  <si>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</si>
  <si>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</si>
  <si>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</si>
  <si>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</si>
  <si>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</si>
  <si>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</si>
  <si>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</si>
  <si>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</si>
  <si>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</si>
  <si>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</si>
  <si>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</si>
  <si>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</si>
  <si>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</si>
  <si>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</si>
  <si>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</si>
  <si>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</si>
  <si>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</si>
  <si>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</si>
  <si>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</si>
  <si>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</si>
  <si>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</si>
  <si>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</si>
  <si>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</si>
  <si>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</si>
  <si>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</si>
  <si>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</si>
  <si>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</si>
  <si>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</si>
  <si>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</si>
  <si>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</si>
  <si>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</si>
  <si>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</si>
  <si>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</si>
  <si>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</si>
  <si>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</si>
  <si>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</si>
  <si>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</si>
  <si>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</si>
  <si>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</si>
  <si>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</si>
  <si>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</si>
  <si>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</si>
  <si>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</si>
  <si>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</si>
  <si>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</si>
  <si>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</si>
  <si>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</si>
  <si>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</si>
  <si>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</si>
  <si>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</si>
  <si>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</si>
  <si>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</si>
  <si>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</si>
  <si>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</si>
  <si>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</si>
  <si>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Satellite_Акційний_24міс.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</si>
</sst>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9" fontId="0" fillId="11" borderId="0" xfId="0" applyNumberFormat="1" applyFill="1" applyProtection="1">
      <protection hidden="1"/>
    </xf>
    <xf numFmtId="2" fontId="0" fillId="11" borderId="0" xfId="0" applyNumberFormat="1" applyFill="1" applyProtection="1">
      <protection hidden="1"/>
    </xf>
    <xf numFmtId="0" fontId="33" fillId="6" borderId="1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1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944880</xdr:colOff>
      <xdr:row>3</xdr:row>
      <xdr:rowOff>28575</xdr:rowOff>
    </xdr:to>
    <xdr:pic>
      <xdr:nvPicPr>
        <xdr:cNvPr id="4097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1905</xdr:colOff>
      <xdr:row>3</xdr:row>
      <xdr:rowOff>47625</xdr:rowOff>
    </xdr:to>
    <xdr:pic>
      <xdr:nvPicPr>
        <xdr:cNvPr id="4098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zoomScale="115" zoomScaleNormal="70" zoomScaleSheetLayoutView="115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20.28515625" customWidth="1"/>
    <col min="10" max="10" width="17.28515625" style="3" hidden="1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0" style="97" hidden="1" customWidth="1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213" t="s">
        <v>48</v>
      </c>
      <c r="I1" s="213"/>
    </row>
    <row r="2" spans="1:45" ht="12.75" customHeight="1" x14ac:dyDescent="0.2">
      <c r="A2" s="2"/>
      <c r="B2" s="88"/>
      <c r="C2" s="88"/>
      <c r="D2" s="88"/>
      <c r="E2" s="109">
        <f>VLOOKUP(Satellite!H2,Лист2!A:P,16,FALSE)</f>
        <v>1000</v>
      </c>
      <c r="F2" s="132">
        <f>VLOOKUP(H$2,Лист2!$A:$H,8,0)</f>
        <v>99999.995800000004</v>
      </c>
      <c r="G2" s="177">
        <f ca="1">TODAY()</f>
        <v>45610</v>
      </c>
      <c r="H2" s="219" t="s">
        <v>160</v>
      </c>
      <c r="I2" s="220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53500</v>
      </c>
      <c r="F3" s="221" t="str">
        <f>IF(E3="x","Збільшіть суму",IF(E3="y","Зменшіть суму",""))</f>
        <v/>
      </c>
      <c r="G3" s="133">
        <f>Назви!B32</f>
        <v>30.4</v>
      </c>
      <c r="H3" s="223">
        <f>VLOOKUP(H$2,Лист2!$A:$H,8,0)</f>
        <v>99999.995800000004</v>
      </c>
      <c r="I3" s="224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222"/>
      <c r="G4" s="112"/>
      <c r="H4" s="162"/>
      <c r="I4" s="120"/>
      <c r="J4" s="35"/>
      <c r="AA4" s="51"/>
    </row>
    <row r="5" spans="1:45" ht="21" thickBot="1" x14ac:dyDescent="0.25">
      <c r="A5" s="1"/>
      <c r="B5" s="225" t="s">
        <v>42</v>
      </c>
      <c r="C5" s="226"/>
      <c r="D5" s="226"/>
      <c r="E5" s="227"/>
      <c r="F5" s="161">
        <v>50000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216" t="s">
        <v>43</v>
      </c>
      <c r="C7" s="217"/>
      <c r="D7" s="217"/>
      <c r="E7" s="218"/>
      <c r="F7" s="163">
        <f>F5+F5*F11+F15+F5*F17</f>
        <v>53500</v>
      </c>
      <c r="G7" s="164"/>
      <c r="H7" s="165"/>
      <c r="I7" s="42"/>
      <c r="J7" s="4"/>
      <c r="K7" s="37"/>
      <c r="L7" s="51" t="str">
        <f>Лист2!A4</f>
        <v>Satellite_Акційний_24міс.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214"/>
      <c r="B8" s="214"/>
      <c r="C8" s="214"/>
      <c r="D8" s="214"/>
      <c r="E8" s="214"/>
      <c r="F8" s="188"/>
      <c r="G8" s="214"/>
      <c r="H8" s="214"/>
      <c r="I8" s="214"/>
      <c r="J8" s="4"/>
      <c r="K8" s="37"/>
      <c r="L8" s="51" t="e">
        <f>Лист2!#REF!</f>
        <v>#REF!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28" t="str">
        <f>Назви!A3</f>
        <v>Процентна ставка, % річних</v>
      </c>
      <c r="C9" s="229">
        <f>Назви!B3</f>
        <v>0</v>
      </c>
      <c r="D9" s="229">
        <f>Назви!C3</f>
        <v>0</v>
      </c>
      <c r="E9" s="229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e">
        <f>Лист2!#REF!</f>
        <v>#REF!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e">
        <f>Лист2!#REF!</f>
        <v>#REF!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187" t="str">
        <f>Назви!A5</f>
        <v>Разовий страховий тариф, %</v>
      </c>
      <c r="C11" s="196">
        <f>Назви!B5</f>
        <v>0</v>
      </c>
      <c r="D11" s="196">
        <f>Назви!C5</f>
        <v>0</v>
      </c>
      <c r="E11" s="19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186" t="s">
        <v>41</v>
      </c>
      <c r="C13" s="186"/>
      <c r="D13" s="186"/>
      <c r="E13" s="187"/>
      <c r="F13" s="140">
        <f>VLOOKUP(H$2,Лист2!$A:$J,9,0)</f>
        <v>4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215"/>
      <c r="B14" s="215"/>
      <c r="C14" s="215"/>
      <c r="D14" s="215"/>
      <c r="E14" s="215"/>
      <c r="F14" s="215"/>
      <c r="G14" s="215"/>
      <c r="H14" s="215"/>
      <c r="I14" s="215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186" t="s">
        <v>39</v>
      </c>
      <c r="C15" s="186"/>
      <c r="D15" s="186"/>
      <c r="E15" s="187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186" t="s">
        <v>40</v>
      </c>
      <c r="C17" s="186"/>
      <c r="D17" s="186"/>
      <c r="E17" s="186"/>
      <c r="F17" s="134">
        <f>VLOOKUP(H$2,Лист2!$A:$K,11,0)</f>
        <v>7.0000000000000007E-2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187" t="str">
        <f>Назви!A7</f>
        <v xml:space="preserve">Щомісячна плата за обслуговування кредитної заборгованості, % </v>
      </c>
      <c r="C19" s="196">
        <f>Назви!B7</f>
        <v>0</v>
      </c>
      <c r="D19" s="196">
        <f>Назви!C7</f>
        <v>0</v>
      </c>
      <c r="E19" s="197">
        <f>Назви!D7</f>
        <v>0</v>
      </c>
      <c r="F19" s="134">
        <f>VLOOKUP(H$2,Лист2!$A:$G,6,0)</f>
        <v>3.5000000000000003E-2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187" t="str">
        <f>Назви!A9</f>
        <v>Термін кредитування (міс.)</v>
      </c>
      <c r="C21" s="196">
        <f>Назви!B9</f>
        <v>0</v>
      </c>
      <c r="D21" s="196">
        <f>Назви!C9</f>
        <v>0</v>
      </c>
      <c r="E21" s="197">
        <f>Назви!D9</f>
        <v>0</v>
      </c>
      <c r="F21" s="141">
        <f>VLOOKUP(H$2,Лист2!$A:$G,3,0)</f>
        <v>24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53500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191" t="str">
        <f>Назви!A14</f>
        <v>Орієнтовні загальні витрати за кредитом, грн.</v>
      </c>
      <c r="C24" s="192"/>
      <c r="D24" s="192"/>
      <c r="E24" s="192"/>
      <c r="F24" s="160">
        <f>G100-F5</f>
        <v>40960.700000000041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191" t="str">
        <f>Назви!A16</f>
        <v>Орієнтовна загальна вартість кредиту, грн.</v>
      </c>
      <c r="C26" s="192">
        <f>Назви!B14</f>
        <v>0</v>
      </c>
      <c r="D26" s="192">
        <f>Назви!C14</f>
        <v>0</v>
      </c>
      <c r="E26" s="193">
        <f>Назви!D14</f>
        <v>0</v>
      </c>
      <c r="F26" s="144">
        <f>F5+F24</f>
        <v>90960.700000000041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191" t="str">
        <f>Назви!A18</f>
        <v>Реальна річна процентна ставка, %</v>
      </c>
      <c r="C28" s="192">
        <f>Назви!B16</f>
        <v>0</v>
      </c>
      <c r="D28" s="192">
        <f>Назви!C16</f>
        <v>0</v>
      </c>
      <c r="E28" s="193">
        <f>Назви!D16</f>
        <v>0</v>
      </c>
      <c r="F28" s="147">
        <f ca="1">XIRR(G39:G87,C39:C87)</f>
        <v>0.79648746252059954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194" t="str">
        <f>Назви!A19</f>
        <v>Інший термін</v>
      </c>
      <c r="C30" s="195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189" t="s">
        <v>32</v>
      </c>
      <c r="C31" s="190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189" t="s">
        <v>33</v>
      </c>
      <c r="C32" s="190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189" t="s">
        <v>9</v>
      </c>
      <c r="C33" s="190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189"/>
      <c r="C34" s="190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199" t="str">
        <f>Назви!A26</f>
        <v xml:space="preserve">ГРАФІК СПЛАТИ КРЕДИТУ </v>
      </c>
      <c r="C37" s="200"/>
      <c r="D37" s="200"/>
      <c r="E37" s="200"/>
      <c r="F37" s="200"/>
      <c r="G37" s="200"/>
      <c r="H37" s="20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02" t="str">
        <f>Назви!A27</f>
        <v>Місяць</v>
      </c>
      <c r="C38" s="20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2" t="str">
        <f>Назви!F27</f>
        <v>Загальна сума внесків до повернення в місяць, грн.</v>
      </c>
      <c r="H38" s="20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5" hidden="1" thickBot="1" x14ac:dyDescent="0.25">
      <c r="A39" s="1"/>
      <c r="B39" s="90">
        <v>0</v>
      </c>
      <c r="C39" s="159">
        <f ca="1">TODAY()</f>
        <v>45610</v>
      </c>
      <c r="D39" s="91"/>
      <c r="E39" s="92"/>
      <c r="F39" s="91"/>
      <c r="G39" s="158">
        <f>-F5</f>
        <v>-50000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45640</v>
      </c>
      <c r="D40" s="19">
        <f>IF(B40&lt;=$F$21,$F$7/$F$21,0)</f>
        <v>2229.1666666666665</v>
      </c>
      <c r="E40" s="20">
        <f>IF(AND(B40&gt;F$13,B40&lt;=$F$21),F$7*F$19,0)</f>
        <v>0</v>
      </c>
      <c r="F40" s="182">
        <f>IF(B40&lt;=$F$21,F$7*F$9/12,0)</f>
        <v>0.44583333333333336</v>
      </c>
      <c r="G40" s="198">
        <f t="shared" ref="G40:G71" si="0">IF(B$40&lt;=F$21,D40+E40+F40,0)</f>
        <v>2229.6124999999997</v>
      </c>
      <c r="H40" s="19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45671</v>
      </c>
      <c r="D41" s="19">
        <f t="shared" ref="D41:D87" si="2">IF(B41&lt;=$F$21,$F$7/$F$21,0)</f>
        <v>2229.1666666666665</v>
      </c>
      <c r="E41" s="20">
        <f t="shared" ref="E41:E99" si="3">IF(AND(B41&gt;F$13,B41&lt;=$F$21),F$7*F$19,0)</f>
        <v>0</v>
      </c>
      <c r="F41" s="182">
        <f t="shared" ref="F41:F99" si="4">IF(B41&lt;=$F$21,F$7*F$9/12,0)</f>
        <v>0.44583333333333336</v>
      </c>
      <c r="G41" s="198">
        <f t="shared" si="0"/>
        <v>2229.6124999999997</v>
      </c>
      <c r="H41" s="19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45702</v>
      </c>
      <c r="D42" s="19">
        <f t="shared" si="2"/>
        <v>2229.1666666666665</v>
      </c>
      <c r="E42" s="20">
        <f t="shared" si="3"/>
        <v>0</v>
      </c>
      <c r="F42" s="182">
        <f t="shared" si="4"/>
        <v>0.44583333333333336</v>
      </c>
      <c r="G42" s="198">
        <f t="shared" si="0"/>
        <v>2229.6124999999997</v>
      </c>
      <c r="H42" s="19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45730</v>
      </c>
      <c r="D43" s="19">
        <f t="shared" si="2"/>
        <v>2229.1666666666665</v>
      </c>
      <c r="E43" s="20">
        <f t="shared" si="3"/>
        <v>0</v>
      </c>
      <c r="F43" s="182">
        <f t="shared" si="4"/>
        <v>0.44583333333333336</v>
      </c>
      <c r="G43" s="198">
        <f t="shared" si="0"/>
        <v>2229.6124999999997</v>
      </c>
      <c r="H43" s="19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45761</v>
      </c>
      <c r="D44" s="19">
        <f t="shared" si="2"/>
        <v>2229.1666666666665</v>
      </c>
      <c r="E44" s="20">
        <f t="shared" si="3"/>
        <v>1872.5000000000002</v>
      </c>
      <c r="F44" s="182">
        <f t="shared" si="4"/>
        <v>0.44583333333333336</v>
      </c>
      <c r="G44" s="198">
        <f t="shared" si="0"/>
        <v>4102.1125000000002</v>
      </c>
      <c r="H44" s="19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45791</v>
      </c>
      <c r="D45" s="19">
        <f t="shared" si="2"/>
        <v>2229.1666666666665</v>
      </c>
      <c r="E45" s="20">
        <f t="shared" si="3"/>
        <v>1872.5000000000002</v>
      </c>
      <c r="F45" s="182">
        <f t="shared" si="4"/>
        <v>0.44583333333333336</v>
      </c>
      <c r="G45" s="198">
        <f t="shared" si="0"/>
        <v>4102.1125000000002</v>
      </c>
      <c r="H45" s="19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45822</v>
      </c>
      <c r="D46" s="19">
        <f t="shared" si="2"/>
        <v>2229.1666666666665</v>
      </c>
      <c r="E46" s="20">
        <f t="shared" si="3"/>
        <v>1872.5000000000002</v>
      </c>
      <c r="F46" s="182">
        <f t="shared" si="4"/>
        <v>0.44583333333333336</v>
      </c>
      <c r="G46" s="198">
        <f t="shared" si="0"/>
        <v>4102.1125000000002</v>
      </c>
      <c r="H46" s="19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45852</v>
      </c>
      <c r="D47" s="19">
        <f t="shared" si="2"/>
        <v>2229.1666666666665</v>
      </c>
      <c r="E47" s="20">
        <f t="shared" si="3"/>
        <v>1872.5000000000002</v>
      </c>
      <c r="F47" s="182">
        <f t="shared" si="4"/>
        <v>0.44583333333333336</v>
      </c>
      <c r="G47" s="198">
        <f t="shared" si="0"/>
        <v>4102.1125000000002</v>
      </c>
      <c r="H47" s="19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45883</v>
      </c>
      <c r="D48" s="19">
        <f t="shared" si="2"/>
        <v>2229.1666666666665</v>
      </c>
      <c r="E48" s="20">
        <f t="shared" si="3"/>
        <v>1872.5000000000002</v>
      </c>
      <c r="F48" s="182">
        <f t="shared" si="4"/>
        <v>0.44583333333333336</v>
      </c>
      <c r="G48" s="198">
        <f t="shared" si="0"/>
        <v>4102.1125000000002</v>
      </c>
      <c r="H48" s="19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45914</v>
      </c>
      <c r="D49" s="19">
        <f t="shared" si="2"/>
        <v>2229.1666666666665</v>
      </c>
      <c r="E49" s="20">
        <f t="shared" si="3"/>
        <v>1872.5000000000002</v>
      </c>
      <c r="F49" s="182">
        <f t="shared" si="4"/>
        <v>0.44583333333333336</v>
      </c>
      <c r="G49" s="198">
        <f t="shared" si="0"/>
        <v>4102.1125000000002</v>
      </c>
      <c r="H49" s="19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45944</v>
      </c>
      <c r="D50" s="19">
        <f t="shared" si="2"/>
        <v>2229.1666666666665</v>
      </c>
      <c r="E50" s="20">
        <f t="shared" si="3"/>
        <v>1872.5000000000002</v>
      </c>
      <c r="F50" s="182">
        <f t="shared" si="4"/>
        <v>0.44583333333333336</v>
      </c>
      <c r="G50" s="198">
        <f t="shared" si="0"/>
        <v>4102.1125000000002</v>
      </c>
      <c r="H50" s="19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45975</v>
      </c>
      <c r="D51" s="19">
        <f t="shared" si="2"/>
        <v>2229.1666666666665</v>
      </c>
      <c r="E51" s="20">
        <f t="shared" si="3"/>
        <v>1872.5000000000002</v>
      </c>
      <c r="F51" s="182">
        <f t="shared" si="4"/>
        <v>0.44583333333333336</v>
      </c>
      <c r="G51" s="198">
        <f t="shared" si="0"/>
        <v>4102.1125000000002</v>
      </c>
      <c r="H51" s="19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46005</v>
      </c>
      <c r="D52" s="19">
        <f t="shared" si="2"/>
        <v>2229.1666666666665</v>
      </c>
      <c r="E52" s="20">
        <f t="shared" si="3"/>
        <v>1872.5000000000002</v>
      </c>
      <c r="F52" s="182">
        <f t="shared" si="4"/>
        <v>0.44583333333333336</v>
      </c>
      <c r="G52" s="198">
        <f t="shared" si="0"/>
        <v>4102.1125000000002</v>
      </c>
      <c r="H52" s="19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46036</v>
      </c>
      <c r="D53" s="19">
        <f t="shared" si="2"/>
        <v>2229.1666666666665</v>
      </c>
      <c r="E53" s="20">
        <f t="shared" si="3"/>
        <v>1872.5000000000002</v>
      </c>
      <c r="F53" s="182">
        <f t="shared" si="4"/>
        <v>0.44583333333333336</v>
      </c>
      <c r="G53" s="198">
        <f t="shared" si="0"/>
        <v>4102.1125000000002</v>
      </c>
      <c r="H53" s="19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46067</v>
      </c>
      <c r="D54" s="19">
        <f t="shared" si="2"/>
        <v>2229.1666666666665</v>
      </c>
      <c r="E54" s="20">
        <f t="shared" si="3"/>
        <v>1872.5000000000002</v>
      </c>
      <c r="F54" s="182">
        <f t="shared" si="4"/>
        <v>0.44583333333333336</v>
      </c>
      <c r="G54" s="198">
        <f t="shared" si="0"/>
        <v>4102.1125000000002</v>
      </c>
      <c r="H54" s="19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46095</v>
      </c>
      <c r="D55" s="19">
        <f t="shared" si="2"/>
        <v>2229.1666666666665</v>
      </c>
      <c r="E55" s="20">
        <f t="shared" si="3"/>
        <v>1872.5000000000002</v>
      </c>
      <c r="F55" s="182">
        <f t="shared" si="4"/>
        <v>0.44583333333333336</v>
      </c>
      <c r="G55" s="198">
        <f t="shared" si="0"/>
        <v>4102.1125000000002</v>
      </c>
      <c r="H55" s="19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46126</v>
      </c>
      <c r="D56" s="19">
        <f t="shared" si="2"/>
        <v>2229.1666666666665</v>
      </c>
      <c r="E56" s="20">
        <f t="shared" si="3"/>
        <v>1872.5000000000002</v>
      </c>
      <c r="F56" s="182">
        <f t="shared" si="4"/>
        <v>0.44583333333333336</v>
      </c>
      <c r="G56" s="198">
        <f t="shared" si="0"/>
        <v>4102.1125000000002</v>
      </c>
      <c r="H56" s="19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46156</v>
      </c>
      <c r="D57" s="19">
        <f t="shared" si="2"/>
        <v>2229.1666666666665</v>
      </c>
      <c r="E57" s="20">
        <f t="shared" si="3"/>
        <v>1872.5000000000002</v>
      </c>
      <c r="F57" s="182">
        <f t="shared" si="4"/>
        <v>0.44583333333333336</v>
      </c>
      <c r="G57" s="198">
        <f t="shared" si="0"/>
        <v>4102.1125000000002</v>
      </c>
      <c r="H57" s="19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46187</v>
      </c>
      <c r="D58" s="19">
        <f t="shared" si="2"/>
        <v>2229.1666666666665</v>
      </c>
      <c r="E58" s="20">
        <f t="shared" si="3"/>
        <v>1872.5000000000002</v>
      </c>
      <c r="F58" s="182">
        <f t="shared" si="4"/>
        <v>0.44583333333333336</v>
      </c>
      <c r="G58" s="198">
        <f t="shared" si="0"/>
        <v>4102.1125000000002</v>
      </c>
      <c r="H58" s="19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46217</v>
      </c>
      <c r="D59" s="19">
        <f t="shared" si="2"/>
        <v>2229.1666666666665</v>
      </c>
      <c r="E59" s="20">
        <f t="shared" si="3"/>
        <v>1872.5000000000002</v>
      </c>
      <c r="F59" s="182">
        <f t="shared" si="4"/>
        <v>0.44583333333333336</v>
      </c>
      <c r="G59" s="198">
        <f t="shared" si="0"/>
        <v>4102.1125000000002</v>
      </c>
      <c r="H59" s="19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46248</v>
      </c>
      <c r="D60" s="19">
        <f t="shared" si="2"/>
        <v>2229.1666666666665</v>
      </c>
      <c r="E60" s="20">
        <f t="shared" si="3"/>
        <v>1872.5000000000002</v>
      </c>
      <c r="F60" s="182">
        <f t="shared" si="4"/>
        <v>0.44583333333333336</v>
      </c>
      <c r="G60" s="198">
        <f t="shared" si="0"/>
        <v>4102.1125000000002</v>
      </c>
      <c r="H60" s="19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46279</v>
      </c>
      <c r="D61" s="19">
        <f t="shared" si="2"/>
        <v>2229.1666666666665</v>
      </c>
      <c r="E61" s="20">
        <f t="shared" si="3"/>
        <v>1872.5000000000002</v>
      </c>
      <c r="F61" s="182">
        <f t="shared" si="4"/>
        <v>0.44583333333333336</v>
      </c>
      <c r="G61" s="198">
        <f t="shared" si="0"/>
        <v>4102.1125000000002</v>
      </c>
      <c r="H61" s="19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46309</v>
      </c>
      <c r="D62" s="19">
        <f t="shared" si="2"/>
        <v>2229.1666666666665</v>
      </c>
      <c r="E62" s="20">
        <f t="shared" si="3"/>
        <v>1872.5000000000002</v>
      </c>
      <c r="F62" s="182">
        <f t="shared" si="4"/>
        <v>0.44583333333333336</v>
      </c>
      <c r="G62" s="198">
        <f t="shared" si="0"/>
        <v>4102.1125000000002</v>
      </c>
      <c r="H62" s="19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46340</v>
      </c>
      <c r="D63" s="19">
        <f t="shared" si="2"/>
        <v>2229.1666666666665</v>
      </c>
      <c r="E63" s="20">
        <f t="shared" si="3"/>
        <v>1872.5000000000002</v>
      </c>
      <c r="F63" s="182">
        <f t="shared" si="4"/>
        <v>0.44583333333333336</v>
      </c>
      <c r="G63" s="198">
        <f t="shared" si="0"/>
        <v>4102.1125000000002</v>
      </c>
      <c r="H63" s="19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46370</v>
      </c>
      <c r="D64" s="19">
        <f t="shared" si="2"/>
        <v>0</v>
      </c>
      <c r="E64" s="20">
        <f t="shared" si="3"/>
        <v>0</v>
      </c>
      <c r="F64" s="182">
        <f t="shared" si="4"/>
        <v>0</v>
      </c>
      <c r="G64" s="198">
        <f t="shared" si="0"/>
        <v>0</v>
      </c>
      <c r="H64" s="19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46401</v>
      </c>
      <c r="D65" s="19">
        <f t="shared" si="2"/>
        <v>0</v>
      </c>
      <c r="E65" s="20">
        <f t="shared" si="3"/>
        <v>0</v>
      </c>
      <c r="F65" s="182">
        <f t="shared" si="4"/>
        <v>0</v>
      </c>
      <c r="G65" s="198">
        <f t="shared" si="0"/>
        <v>0</v>
      </c>
      <c r="H65" s="19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46432</v>
      </c>
      <c r="D66" s="19">
        <f t="shared" si="2"/>
        <v>0</v>
      </c>
      <c r="E66" s="20">
        <f t="shared" si="3"/>
        <v>0</v>
      </c>
      <c r="F66" s="182">
        <f t="shared" si="4"/>
        <v>0</v>
      </c>
      <c r="G66" s="198">
        <f t="shared" si="0"/>
        <v>0</v>
      </c>
      <c r="H66" s="19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46460</v>
      </c>
      <c r="D67" s="19">
        <f t="shared" si="2"/>
        <v>0</v>
      </c>
      <c r="E67" s="20">
        <f t="shared" si="3"/>
        <v>0</v>
      </c>
      <c r="F67" s="182">
        <f t="shared" si="4"/>
        <v>0</v>
      </c>
      <c r="G67" s="198">
        <f t="shared" si="0"/>
        <v>0</v>
      </c>
      <c r="H67" s="19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46491</v>
      </c>
      <c r="D68" s="19">
        <f t="shared" si="2"/>
        <v>0</v>
      </c>
      <c r="E68" s="20">
        <f t="shared" si="3"/>
        <v>0</v>
      </c>
      <c r="F68" s="182">
        <f t="shared" si="4"/>
        <v>0</v>
      </c>
      <c r="G68" s="198">
        <f t="shared" si="0"/>
        <v>0</v>
      </c>
      <c r="H68" s="19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46521</v>
      </c>
      <c r="D69" s="19">
        <f t="shared" si="2"/>
        <v>0</v>
      </c>
      <c r="E69" s="20">
        <f t="shared" si="3"/>
        <v>0</v>
      </c>
      <c r="F69" s="182">
        <f t="shared" si="4"/>
        <v>0</v>
      </c>
      <c r="G69" s="198">
        <f t="shared" si="0"/>
        <v>0</v>
      </c>
      <c r="H69" s="19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46552</v>
      </c>
      <c r="D70" s="19">
        <f t="shared" si="2"/>
        <v>0</v>
      </c>
      <c r="E70" s="20">
        <f t="shared" si="3"/>
        <v>0</v>
      </c>
      <c r="F70" s="182">
        <f t="shared" si="4"/>
        <v>0</v>
      </c>
      <c r="G70" s="198">
        <f t="shared" si="0"/>
        <v>0</v>
      </c>
      <c r="H70" s="19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46582</v>
      </c>
      <c r="D71" s="19">
        <f t="shared" si="2"/>
        <v>0</v>
      </c>
      <c r="E71" s="20">
        <f t="shared" si="3"/>
        <v>0</v>
      </c>
      <c r="F71" s="182">
        <f t="shared" si="4"/>
        <v>0</v>
      </c>
      <c r="G71" s="198">
        <f t="shared" si="0"/>
        <v>0</v>
      </c>
      <c r="H71" s="19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46613</v>
      </c>
      <c r="D72" s="19">
        <f t="shared" si="2"/>
        <v>0</v>
      </c>
      <c r="E72" s="20">
        <f t="shared" si="3"/>
        <v>0</v>
      </c>
      <c r="F72" s="182">
        <f t="shared" si="4"/>
        <v>0</v>
      </c>
      <c r="G72" s="198">
        <f t="shared" ref="G72:G99" si="5">IF(B$40&lt;=F$21,D72+E72+F72,0)</f>
        <v>0</v>
      </c>
      <c r="H72" s="19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46644</v>
      </c>
      <c r="D73" s="19">
        <f t="shared" si="2"/>
        <v>0</v>
      </c>
      <c r="E73" s="20">
        <f t="shared" si="3"/>
        <v>0</v>
      </c>
      <c r="F73" s="182">
        <f t="shared" si="4"/>
        <v>0</v>
      </c>
      <c r="G73" s="198">
        <f t="shared" si="5"/>
        <v>0</v>
      </c>
      <c r="H73" s="19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46674</v>
      </c>
      <c r="D74" s="19">
        <f t="shared" si="2"/>
        <v>0</v>
      </c>
      <c r="E74" s="20">
        <f t="shared" si="3"/>
        <v>0</v>
      </c>
      <c r="F74" s="182">
        <f t="shared" si="4"/>
        <v>0</v>
      </c>
      <c r="G74" s="198">
        <f t="shared" si="5"/>
        <v>0</v>
      </c>
      <c r="H74" s="19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46705</v>
      </c>
      <c r="D75" s="19">
        <f t="shared" si="2"/>
        <v>0</v>
      </c>
      <c r="E75" s="20">
        <f t="shared" si="3"/>
        <v>0</v>
      </c>
      <c r="F75" s="182">
        <f t="shared" si="4"/>
        <v>0</v>
      </c>
      <c r="G75" s="198">
        <f t="shared" si="5"/>
        <v>0</v>
      </c>
      <c r="H75" s="19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46735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198">
        <f t="shared" si="5"/>
        <v>0</v>
      </c>
      <c r="H76" s="19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46766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198">
        <f t="shared" si="5"/>
        <v>0</v>
      </c>
      <c r="H77" s="19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46797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198">
        <f t="shared" si="5"/>
        <v>0</v>
      </c>
      <c r="H78" s="19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46826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198">
        <f t="shared" si="5"/>
        <v>0</v>
      </c>
      <c r="H79" s="19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46857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198">
        <f t="shared" si="5"/>
        <v>0</v>
      </c>
      <c r="H80" s="19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46887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198">
        <f t="shared" si="5"/>
        <v>0</v>
      </c>
      <c r="H81" s="19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46918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198">
        <f t="shared" si="5"/>
        <v>0</v>
      </c>
      <c r="H82" s="19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46948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198">
        <f t="shared" si="5"/>
        <v>0</v>
      </c>
      <c r="H83" s="19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46979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198">
        <f t="shared" si="5"/>
        <v>0</v>
      </c>
      <c r="H84" s="19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47010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198">
        <f t="shared" si="5"/>
        <v>0</v>
      </c>
      <c r="H85" s="19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47040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198">
        <f t="shared" si="5"/>
        <v>0</v>
      </c>
      <c r="H86" s="19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47071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198">
        <f t="shared" si="5"/>
        <v>0</v>
      </c>
      <c r="H87" s="19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47101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06">
        <f t="shared" si="5"/>
        <v>0</v>
      </c>
      <c r="H88" s="20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47132</v>
      </c>
      <c r="D89" s="107">
        <f t="shared" si="6"/>
        <v>0</v>
      </c>
      <c r="E89" s="108">
        <f t="shared" si="3"/>
        <v>0</v>
      </c>
      <c r="F89" s="182">
        <f t="shared" si="4"/>
        <v>0</v>
      </c>
      <c r="G89" s="208">
        <f t="shared" si="5"/>
        <v>0</v>
      </c>
      <c r="H89" s="209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47163</v>
      </c>
      <c r="D90" s="107">
        <f t="shared" si="6"/>
        <v>0</v>
      </c>
      <c r="E90" s="108">
        <f t="shared" si="3"/>
        <v>0</v>
      </c>
      <c r="F90" s="182">
        <f t="shared" si="4"/>
        <v>0</v>
      </c>
      <c r="G90" s="208">
        <f t="shared" si="5"/>
        <v>0</v>
      </c>
      <c r="H90" s="209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47191</v>
      </c>
      <c r="D91" s="107">
        <f t="shared" si="6"/>
        <v>0</v>
      </c>
      <c r="E91" s="108">
        <f t="shared" si="3"/>
        <v>0</v>
      </c>
      <c r="F91" s="182">
        <f t="shared" si="4"/>
        <v>0</v>
      </c>
      <c r="G91" s="208">
        <f t="shared" si="5"/>
        <v>0</v>
      </c>
      <c r="H91" s="209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47222</v>
      </c>
      <c r="D92" s="107">
        <f t="shared" si="6"/>
        <v>0</v>
      </c>
      <c r="E92" s="108">
        <f t="shared" si="3"/>
        <v>0</v>
      </c>
      <c r="F92" s="182">
        <f t="shared" si="4"/>
        <v>0</v>
      </c>
      <c r="G92" s="208">
        <f t="shared" si="5"/>
        <v>0</v>
      </c>
      <c r="H92" s="209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47252</v>
      </c>
      <c r="D93" s="107">
        <f t="shared" si="6"/>
        <v>0</v>
      </c>
      <c r="E93" s="108">
        <f t="shared" si="3"/>
        <v>0</v>
      </c>
      <c r="F93" s="182">
        <f t="shared" si="4"/>
        <v>0</v>
      </c>
      <c r="G93" s="208">
        <f t="shared" si="5"/>
        <v>0</v>
      </c>
      <c r="H93" s="209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47283</v>
      </c>
      <c r="D94" s="107">
        <f t="shared" si="6"/>
        <v>0</v>
      </c>
      <c r="E94" s="108">
        <f t="shared" si="3"/>
        <v>0</v>
      </c>
      <c r="F94" s="182">
        <f t="shared" si="4"/>
        <v>0</v>
      </c>
      <c r="G94" s="208">
        <f t="shared" si="5"/>
        <v>0</v>
      </c>
      <c r="H94" s="209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47313</v>
      </c>
      <c r="D95" s="107">
        <f t="shared" si="6"/>
        <v>0</v>
      </c>
      <c r="E95" s="108">
        <f t="shared" si="3"/>
        <v>0</v>
      </c>
      <c r="F95" s="182">
        <f t="shared" si="4"/>
        <v>0</v>
      </c>
      <c r="G95" s="208">
        <f t="shared" si="5"/>
        <v>0</v>
      </c>
      <c r="H95" s="209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47344</v>
      </c>
      <c r="D96" s="107">
        <f t="shared" si="6"/>
        <v>0</v>
      </c>
      <c r="E96" s="108">
        <f t="shared" si="3"/>
        <v>0</v>
      </c>
      <c r="F96" s="182">
        <f t="shared" si="4"/>
        <v>0</v>
      </c>
      <c r="G96" s="208">
        <f t="shared" si="5"/>
        <v>0</v>
      </c>
      <c r="H96" s="209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47375</v>
      </c>
      <c r="D97" s="107">
        <f t="shared" si="6"/>
        <v>0</v>
      </c>
      <c r="E97" s="108">
        <f t="shared" si="3"/>
        <v>0</v>
      </c>
      <c r="F97" s="182">
        <f t="shared" si="4"/>
        <v>0</v>
      </c>
      <c r="G97" s="208">
        <f t="shared" si="5"/>
        <v>0</v>
      </c>
      <c r="H97" s="209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47405</v>
      </c>
      <c r="D98" s="107">
        <f t="shared" si="6"/>
        <v>0</v>
      </c>
      <c r="E98" s="108">
        <f t="shared" si="3"/>
        <v>0</v>
      </c>
      <c r="F98" s="182">
        <f t="shared" si="4"/>
        <v>0</v>
      </c>
      <c r="G98" s="208">
        <f t="shared" si="5"/>
        <v>0</v>
      </c>
      <c r="H98" s="209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47436</v>
      </c>
      <c r="D99" s="107">
        <f t="shared" si="6"/>
        <v>0</v>
      </c>
      <c r="E99" s="108">
        <f t="shared" si="3"/>
        <v>0</v>
      </c>
      <c r="F99" s="182">
        <f t="shared" si="4"/>
        <v>0</v>
      </c>
      <c r="G99" s="208">
        <f t="shared" si="5"/>
        <v>0</v>
      </c>
      <c r="H99" s="209"/>
      <c r="I99" s="104"/>
      <c r="J99" s="104"/>
    </row>
    <row r="100" spans="1:19" s="4" customFormat="1" ht="16.5" thickBot="1" x14ac:dyDescent="0.25">
      <c r="A100" s="43"/>
      <c r="B100" s="204" t="s">
        <v>1</v>
      </c>
      <c r="C100" s="205"/>
      <c r="D100" s="93">
        <f>SUM(D40:D99)</f>
        <v>53499.999999999985</v>
      </c>
      <c r="E100" s="93">
        <f>SUM(E40:E99)</f>
        <v>37450.000000000007</v>
      </c>
      <c r="F100" s="99">
        <f>SUM(F40:F99)</f>
        <v>10.700000000000001</v>
      </c>
      <c r="G100" s="211">
        <f>SUM(G40:H99)</f>
        <v>90960.700000000041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10" t="s">
        <v>6</v>
      </c>
      <c r="F102" s="210"/>
      <c r="G102" s="210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fX0Z2cwhFyeyp/RBJiLy8jh/+1c37cENmmpFdVeXF36CjyddZwdc4B2gcv0JTD4HKx0wdNFSUlIev1EKJMcxug==" saltValue="4BA+BdK4MPdNraOY4rbkSA==" spinCount="100000" sheet="1"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L7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46" t="s">
        <v>16</v>
      </c>
      <c r="B1" s="247"/>
      <c r="C1" s="247"/>
      <c r="D1" s="24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41" t="s">
        <v>44</v>
      </c>
      <c r="B3" s="242">
        <v>0</v>
      </c>
      <c r="C3" s="242">
        <v>0</v>
      </c>
      <c r="D3" s="24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41" t="s">
        <v>45</v>
      </c>
      <c r="B5" s="242">
        <v>0</v>
      </c>
      <c r="C5" s="242">
        <v>0</v>
      </c>
      <c r="D5" s="24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41" t="s">
        <v>46</v>
      </c>
      <c r="B7" s="242">
        <v>0</v>
      </c>
      <c r="C7" s="242">
        <v>0</v>
      </c>
      <c r="D7" s="24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41" t="s">
        <v>158</v>
      </c>
      <c r="B9" s="242"/>
      <c r="C9" s="242"/>
      <c r="D9" s="24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41" t="s">
        <v>157</v>
      </c>
      <c r="B12" s="242">
        <v>0</v>
      </c>
      <c r="C12" s="242">
        <v>0</v>
      </c>
      <c r="D12" s="24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41" t="s">
        <v>47</v>
      </c>
      <c r="B14" s="242">
        <v>0</v>
      </c>
      <c r="C14" s="242">
        <v>0</v>
      </c>
      <c r="D14" s="24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41" t="s">
        <v>156</v>
      </c>
      <c r="B16" s="242">
        <v>0</v>
      </c>
      <c r="C16" s="242">
        <v>0</v>
      </c>
      <c r="D16" s="24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44" t="s">
        <v>8</v>
      </c>
      <c r="B19" s="24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9" t="s">
        <v>20</v>
      </c>
      <c r="B20" s="250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9" t="s">
        <v>9</v>
      </c>
      <c r="B21" s="250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9" t="s">
        <v>18</v>
      </c>
      <c r="B22" s="250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9" t="s">
        <v>19</v>
      </c>
      <c r="B23" s="250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52" t="s">
        <v>30</v>
      </c>
      <c r="B26" s="253"/>
      <c r="C26" s="253"/>
      <c r="D26" s="253"/>
      <c r="E26" s="253"/>
      <c r="F26" s="253"/>
      <c r="G26" s="254"/>
    </row>
    <row r="27" spans="1:8" ht="45.75" thickBot="1" x14ac:dyDescent="0.25">
      <c r="A27" s="255" t="s">
        <v>2</v>
      </c>
      <c r="B27" s="256"/>
      <c r="C27" s="83" t="s">
        <v>4</v>
      </c>
      <c r="D27" s="83" t="s">
        <v>17</v>
      </c>
      <c r="E27" s="83" t="s">
        <v>5</v>
      </c>
      <c r="F27" s="257" t="s">
        <v>3</v>
      </c>
      <c r="G27" s="258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51"/>
      <c r="E29" s="251"/>
      <c r="F29" s="251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"/>
  <sheetViews>
    <sheetView zoomScale="85" zoomScaleNormal="85" workbookViewId="0">
      <selection activeCell="E20" sqref="E20"/>
    </sheetView>
  </sheetViews>
  <sheetFormatPr defaultColWidth="9.140625" defaultRowHeight="12.75" x14ac:dyDescent="0.2"/>
  <cols>
    <col min="1" max="1" width="35.140625" style="116" bestFit="1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93457.94</v>
      </c>
      <c r="C4" s="151">
        <v>24</v>
      </c>
      <c r="D4" s="152">
        <v>1E-4</v>
      </c>
      <c r="E4" s="152">
        <v>0</v>
      </c>
      <c r="F4" s="152">
        <v>3.5000000000000003E-2</v>
      </c>
      <c r="G4" s="151" t="str">
        <f>I$2&amp;" "&amp;B4&amp;" "&amp;H$2</f>
        <v>max. 93457,94 грн.</v>
      </c>
      <c r="H4" s="185">
        <f>B4+B4*K4</f>
        <v>99999.995800000004</v>
      </c>
      <c r="I4" s="151">
        <v>4</v>
      </c>
      <c r="K4" s="184">
        <v>7.0000000000000007E-2</v>
      </c>
      <c r="L4" s="153">
        <f t="shared" ref="L4" si="0">D4/12/(1-1/POWER(1+D4/12,C4))*H4+H4*F4</f>
        <v>7667.1003862688667</v>
      </c>
      <c r="M4" s="154">
        <f>F4</f>
        <v>3.5000000000000003E-2</v>
      </c>
      <c r="N4" s="154"/>
      <c r="O4" s="155">
        <v>0</v>
      </c>
      <c r="P4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Satellite</vt:lpstr>
      <vt:lpstr>Перелік партнерів</vt:lpstr>
      <vt:lpstr>Назви</vt:lpstr>
      <vt:lpstr>Лист2</vt:lpstr>
      <vt:lpstr>Satellite!Область_друку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2024-11-14T08:05:45Z</dcterms:modified>
</cp:coreProperties>
</file>