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43F54A18-E5F9-4942-B526-9332708B72A2}" xr6:coauthVersionLast="47" xr6:coauthVersionMax="47" xr10:uidLastSave="{00000000-0000-0000-0000-000000000000}"/>
  <workbookProtection workbookAlgorithmName="SHA-512" workbookHashValue="UMwwH7yoe6skx3eu5EwgCMregjgYqI5rCguXUUnJP2GXAkPeaF2Aw3InCD5KGVpYOABcZpxaEyeNHsPjcw8J0w==" workbookSaltValue="FulqQZjkWQ1oia3Jy5Dutg==" workbookSpinCount="100000" lockStructure="1"/>
  <bookViews>
    <workbookView xWindow="-120" yWindow="-120" windowWidth="29040" windowHeight="15990" tabRatio="863" xr2:uid="{00000000-000D-0000-FFFF-FFFF00000000}"/>
  </bookViews>
  <sheets>
    <sheet name="Satellite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Satellite!$A$1:$I$103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 l="1"/>
  <c r="L9" i="164"/>
  <c r="L10" i="164"/>
  <c r="L11" i="164"/>
  <c r="L12" i="164"/>
  <c r="L13" i="164"/>
  <c r="L14" i="164"/>
  <c r="G8" i="165"/>
  <c r="H8" i="165"/>
  <c r="L8" i="165"/>
  <c r="M8" i="165"/>
  <c r="G9" i="165"/>
  <c r="H9" i="165"/>
  <c r="L9" i="165"/>
  <c r="M9" i="165"/>
  <c r="G10" i="165"/>
  <c r="H10" i="165"/>
  <c r="L10" i="165"/>
  <c r="M10" i="165"/>
  <c r="G11" i="165"/>
  <c r="H11" i="165"/>
  <c r="L11" i="165"/>
  <c r="M11" i="165"/>
  <c r="M7" i="165"/>
  <c r="H7" i="165"/>
  <c r="L7" i="165" s="1"/>
  <c r="G7" i="165"/>
  <c r="H3" i="164"/>
  <c r="H5" i="165" l="1"/>
  <c r="H6" i="165"/>
  <c r="H4" i="165"/>
  <c r="F2" i="164"/>
  <c r="E2" i="164"/>
  <c r="G2" i="164"/>
  <c r="G3" i="164"/>
  <c r="G39" i="164" l="1"/>
  <c r="M6" i="165" l="1"/>
  <c r="L6" i="165"/>
  <c r="G6" i="165"/>
  <c r="M5" i="165"/>
  <c r="L5" i="165"/>
  <c r="G5" i="165"/>
  <c r="G4" i="165" l="1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9" i="164" l="1"/>
  <c r="F83" i="164"/>
  <c r="F87" i="164"/>
  <c r="F91" i="164"/>
  <c r="F95" i="164"/>
  <c r="F99" i="164"/>
  <c r="F76" i="164"/>
  <c r="F80" i="164"/>
  <c r="F84" i="164"/>
  <c r="F88" i="164"/>
  <c r="F92" i="164"/>
  <c r="F96" i="164"/>
  <c r="F77" i="164"/>
  <c r="F81" i="164"/>
  <c r="F85" i="164"/>
  <c r="F89" i="164"/>
  <c r="F93" i="164"/>
  <c r="F97" i="164"/>
  <c r="F78" i="164"/>
  <c r="F82" i="164"/>
  <c r="F86" i="164"/>
  <c r="F90" i="164"/>
  <c r="F94" i="164"/>
  <c r="F98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64" i="164" l="1"/>
  <c r="E75" i="164"/>
  <c r="F72" i="164"/>
  <c r="F69" i="164"/>
  <c r="F66" i="164"/>
  <c r="F65" i="164"/>
  <c r="F68" i="164"/>
  <c r="F75" i="164"/>
  <c r="F74" i="164"/>
  <c r="F64" i="164"/>
  <c r="F71" i="164"/>
  <c r="F70" i="164"/>
  <c r="F73" i="164"/>
  <c r="F67" i="164"/>
  <c r="F62" i="164"/>
  <c r="F58" i="164"/>
  <c r="F61" i="164"/>
  <c r="F60" i="164"/>
  <c r="F63" i="164"/>
  <c r="F54" i="164"/>
  <c r="F57" i="164"/>
  <c r="F56" i="164"/>
  <c r="F59" i="164"/>
  <c r="F50" i="164"/>
  <c r="F53" i="164"/>
  <c r="F52" i="164"/>
  <c r="F55" i="164"/>
  <c r="F45" i="164"/>
  <c r="F44" i="164"/>
  <c r="F46" i="164"/>
  <c r="F41" i="164"/>
  <c r="F51" i="164"/>
  <c r="F42" i="164"/>
  <c r="F40" i="164"/>
  <c r="F47" i="164"/>
  <c r="F49" i="164"/>
  <c r="F48" i="164"/>
  <c r="F43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5" i="164" l="1"/>
  <c r="G66" i="164"/>
  <c r="G64" i="164"/>
  <c r="G71" i="164"/>
  <c r="F100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<sst xmlns="http://schemas.openxmlformats.org/spreadsheetml/2006/main" count="176" uniqueCount="168">
  <si>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</si>
  <si>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</si>
  <si>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</si>
  <si>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</si>
  <si>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</si>
  <si>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</si>
  <si>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</si>
  <si>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</si>
  <si>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</si>
  <si>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</si>
  <si>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</si>
  <si>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</si>
  <si>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</si>
  <si>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</si>
  <si>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</si>
  <si>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</si>
  <si>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</si>
  <si>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</si>
  <si>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</si>
  <si>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</si>
  <si>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</si>
  <si>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</si>
  <si>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</si>
  <si>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</si>
  <si>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</si>
  <si>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</si>
  <si>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</si>
  <si>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</si>
  <si>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</si>
  <si>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</si>
  <si>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</si>
  <si>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</si>
  <si>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</si>
  <si>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</si>
  <si>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</si>
  <si>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</si>
  <si>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</si>
  <si>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</si>
  <si>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</si>
  <si>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</si>
  <si>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</si>
  <si>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</si>
  <si>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</si>
  <si>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</si>
  <si>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</si>
  <si>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</si>
  <si>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</si>
  <si>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</si>
  <si>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</si>
  <si>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</si>
  <si>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</si>
  <si>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</si>
  <si>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</si>
  <si>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</si>
  <si>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</si>
  <si>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</si>
  <si>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</si>
  <si>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</si>
  <si>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</si>
  <si>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</si>
  <si>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</si>
  <si>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</si>
  <si>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</si>
  <si>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</si>
  <si>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</si>
  <si>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</si>
  <si>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</si>
  <si>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</si>
  <si>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</si>
  <si>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</si>
  <si>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</si>
  <si>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</si>
  <si>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</si>
  <si>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</si>
  <si>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</si>
  <si>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</si>
  <si>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</si>
  <si>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</si>
  <si>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</si>
  <si>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</si>
  <si>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</si>
  <si>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</si>
  <si>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</si>
  <si>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</si>
  <si>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</si>
  <si>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</si>
  <si>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</si>
  <si>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</si>
  <si>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</si>
  <si>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</si>
  <si>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</si>
  <si>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</si>
  <si>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</si>
  <si>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</si>
  <si>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</si>
  <si>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</si>
  <si>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</si>
  <si>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</si>
  <si>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</si>
  <si>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</si>
  <si>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</si>
  <si>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</si>
  <si>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</si>
  <si>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</si>
  <si>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</si>
  <si>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</si>
  <si>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</si>
  <si>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</si>
  <si>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</si>
  <si>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</si>
  <si>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</si>
  <si>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</si>
  <si>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</si>
  <si>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</si>
  <si>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</si>
  <si>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</si>
  <si>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</si>
  <si>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</si>
  <si>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</si>
  <si>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</si>
  <si>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</si>
  <si>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</si>
  <si>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</si>
  <si>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</si>
  <si>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</si>
  <si>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</si>
  <si>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</si>
  <si>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</si>
  <si>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</si>
  <si>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</si>
  <si>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</si>
  <si>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</si>
  <si>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</si>
  <si>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</si>
  <si>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</si>
  <si>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</si>
  <si>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</si>
  <si>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</si>
  <si>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</si>
  <si>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</si>
  <si>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</si>
  <si>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</si>
  <si>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</si>
  <si>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</si>
  <si>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</si>
  <si>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</si>
  <si>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</si>
  <si>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</si>
  <si>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</si>
  <si>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</si>
  <si>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</si>
  <si>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</si>
  <si>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</si>
  <si>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</si>
  <si>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</si>
  <si>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</si>
  <si>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</si>
  <si>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</si>
  <si>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</si>
  <si>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</si>
  <si>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Osnova_Satellite, 12 міс</t>
  </si>
  <si>
    <t>Osnova_Satellite, 24 міс</t>
  </si>
  <si>
    <t>Osnova_Satellite, 36 міс</t>
  </si>
  <si>
    <t>Osnova_Satellite_2.99, 12 міс</t>
  </si>
  <si>
    <t>Osnova_Satellite_2.99, 18 міс</t>
  </si>
  <si>
    <t>Osnova_Satellite_2.99, 24 міс</t>
  </si>
  <si>
    <t>Osnova_Satellite_0-6-18</t>
  </si>
  <si>
    <t>Osnova_Satellite, 15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</si>
</sst>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2" fontId="0" fillId="10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VLOOKUP(Satellite!H2,Лист2!A:P,16,FALSE)</f>
        <v>1000</v>
      </c>
      <c r="F2" s="131">
        <f>VLOOKUP(H$2,Лист2!$A:$H,8,0)</f>
        <v>199999.9976</v>
      </c>
      <c r="G2" s="175">
        <f ca="1">TODAY()</f>
        <v>45610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52000</v>
      </c>
      <c r="F3" s="195" t="str">
        <f>IF(E3="x","Збільшіть суму",IF(E3="y","Зменшіть суму",""))</f>
        <v/>
      </c>
      <c r="G3" s="132">
        <f>Назви!B32</f>
        <v>30.4</v>
      </c>
      <c r="H3" s="197">
        <f>VLOOKUP(H$2,Лист2!$A:$H,8,0)</f>
        <v>199999.9976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0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84">
        <v>50000</v>
      </c>
      <c r="G5" s="166" t="s">
        <v>27</v>
      </c>
      <c r="H5" s="167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8"/>
      <c r="J6" s="156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1">
        <f>F5+F5*F11+F15+F5*F17</f>
        <v>52000</v>
      </c>
      <c r="G7" s="162"/>
      <c r="H7" s="163"/>
      <c r="I7" s="42"/>
      <c r="J7" s="4"/>
      <c r="K7" s="37"/>
      <c r="L7" s="51" t="str">
        <f>Лист2!A4</f>
        <v>Osnova_Satellite, 12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str">
        <f>Лист2!A5</f>
        <v>Osnova_Satellite, 24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3">
        <f>VLOOKUP(H$2,Лист2!$A:$G,4,0)</f>
        <v>1E-4</v>
      </c>
      <c r="G9" s="169"/>
      <c r="H9" s="164"/>
      <c r="I9" s="165"/>
      <c r="K9" s="37"/>
      <c r="L9" s="51" t="str">
        <f>Лист2!A6</f>
        <v>Osnova_Satellite, 36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4"/>
      <c r="C10" s="135"/>
      <c r="D10" s="134"/>
      <c r="E10" s="135"/>
      <c r="F10" s="136"/>
      <c r="G10" s="170"/>
      <c r="H10" s="138"/>
      <c r="I10" s="149"/>
      <c r="J10" s="4"/>
      <c r="K10" s="37"/>
      <c r="L10" s="51" t="str">
        <f>Лист2!A7</f>
        <v>Osnova_Satellite, 15 міс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3">
        <f>VLOOKUP(H$2,Лист2!$A:$G,5,0)</f>
        <v>0</v>
      </c>
      <c r="G11" s="173"/>
      <c r="H11" s="171"/>
      <c r="I11" s="120"/>
      <c r="K11" s="37"/>
      <c r="L11" s="51" t="str">
        <f>Лист2!A8</f>
        <v>Osnova_Satellite_2.99, 12 міс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str">
        <f>Лист2!A9</f>
        <v>Osnova_Satellite_2.99, 18 міс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39">
        <f>VLOOKUP(H$2,Лист2!$A:$J,9,0)</f>
        <v>0</v>
      </c>
      <c r="G13" s="173"/>
      <c r="H13" s="171"/>
      <c r="I13" s="120"/>
      <c r="J13" s="4"/>
      <c r="K13" s="37"/>
      <c r="L13" s="51" t="str">
        <f>Лист2!A10</f>
        <v>Osnova_Satellite_2.99, 24 міс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str">
        <f>Лист2!A11</f>
        <v>Osnova_Satellite_0-6-18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5">
        <f>VLOOKUP(H$2,Лист2!$A:$J,10,0)</f>
        <v>0</v>
      </c>
      <c r="G15" s="173"/>
      <c r="H15" s="171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3">
        <f>VLOOKUP(H$2,Лист2!$A:$K,11,0)</f>
        <v>0.04</v>
      </c>
      <c r="G17" s="137"/>
      <c r="H17" s="138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3">
        <f>VLOOKUP(H$2,Лист2!$A:$G,6,0)</f>
        <v>2.5000000000000001E-2</v>
      </c>
      <c r="G19" s="173"/>
      <c r="H19" s="171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4"/>
      <c r="C20" s="135"/>
      <c r="D20" s="134"/>
      <c r="E20" s="135"/>
      <c r="F20" s="136"/>
      <c r="G20" s="137"/>
      <c r="H20" s="138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0">
        <f>VLOOKUP(H$2,Лист2!$A:$G,3,0)</f>
        <v>12</v>
      </c>
      <c r="G21" s="173"/>
      <c r="H21" s="171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1"/>
      <c r="D22" s="102"/>
      <c r="E22" s="147">
        <f>F5*F11</f>
        <v>0</v>
      </c>
      <c r="F22" s="111"/>
      <c r="G22" s="137"/>
      <c r="H22" s="138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1"/>
      <c r="D23" s="102"/>
      <c r="E23" s="148">
        <f>E22+E3</f>
        <v>52000</v>
      </c>
      <c r="F23" s="111"/>
      <c r="G23" s="137"/>
      <c r="H23" s="138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59">
        <f>G100-F5</f>
        <v>17605.199999999983</v>
      </c>
      <c r="G24" s="137"/>
      <c r="H24" s="138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4"/>
      <c r="C25" s="134"/>
      <c r="D25" s="134"/>
      <c r="E25" s="134"/>
      <c r="F25" s="142"/>
      <c r="G25" s="137"/>
      <c r="H25" s="138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3">
        <f>F5+F24</f>
        <v>67605.199999999983</v>
      </c>
      <c r="G26" s="174"/>
      <c r="H26" s="172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4"/>
      <c r="C27" s="144"/>
      <c r="D27" s="144"/>
      <c r="E27" s="144"/>
      <c r="F27" s="145"/>
      <c r="G27" s="137"/>
      <c r="H27" s="138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6">
        <f ca="1">XIRR(G39:G87,C39:C87)</f>
        <v>0.79457944631576538</v>
      </c>
      <c r="G28" s="173"/>
      <c r="H28" s="171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1" t="str">
        <f>Назви!C19</f>
        <v>Щомісячний платіж</v>
      </c>
      <c r="E30" s="122" t="str">
        <f>Назви!D19</f>
        <v>Переплата у грн.               за весь період</v>
      </c>
      <c r="F30" s="123" t="str">
        <f>Назви!E19</f>
        <v>Переплата у відсотках за весь період</v>
      </c>
      <c r="G30" s="123" t="str">
        <f>Назви!F19</f>
        <v>Переплата в місяць</v>
      </c>
      <c r="H30" s="123" t="str">
        <f>Назви!G19</f>
        <v>Переплата в день</v>
      </c>
      <c r="I30" s="123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4">
        <f>IF(ISERROR(M28),"",M28)</f>
        <v>0</v>
      </c>
      <c r="E31" s="124" t="str">
        <f>IF(ISERROR(#REF!),"",#REF!)</f>
        <v/>
      </c>
      <c r="F31" s="125">
        <f>IF(ISERROR(M26),"",M26)</f>
        <v>0</v>
      </c>
      <c r="G31" s="126" t="str">
        <f>IF(ISERROR(E31/A31),"",E31/A31)</f>
        <v/>
      </c>
      <c r="H31" s="127" t="str">
        <f>IF(ISERROR(E31/A31/G$3),"",E31/A31/G$3)</f>
        <v/>
      </c>
      <c r="I31" s="128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29">
        <f>IF(ISERROR(N28),"",N28)</f>
        <v>0</v>
      </c>
      <c r="E32" s="129" t="str">
        <f>IF(ISERROR(#REF!),"",#REF!)</f>
        <v/>
      </c>
      <c r="F32" s="130">
        <f>IF(ISERROR(N26),"",N26)</f>
        <v>0</v>
      </c>
      <c r="G32" s="126" t="str">
        <f>IF(ISERROR(E32/A32),"",E32/A32)</f>
        <v/>
      </c>
      <c r="H32" s="127" t="str">
        <f>IF(ISERROR(E32/A32/G$3),"",E32/A32/G$3)</f>
        <v/>
      </c>
      <c r="I32" s="128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29">
        <f>IF(ISERROR(O28),"",O28)</f>
        <v>0</v>
      </c>
      <c r="E33" s="129" t="str">
        <f>IF(ISERROR(#REF!),"",#REF!)</f>
        <v/>
      </c>
      <c r="F33" s="130">
        <f>IF(ISERROR(O26),"",O26)</f>
        <v>0</v>
      </c>
      <c r="G33" s="126" t="str">
        <f>IF(ISERROR(E33/A33),"",E33/A33)</f>
        <v/>
      </c>
      <c r="H33" s="127" t="str">
        <f>IF(ISERROR(E33/A33/G$3),"",E33/A33/G$3)</f>
        <v/>
      </c>
      <c r="I33" s="128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29">
        <f>IF(ISERROR(P28),"",P28)</f>
        <v>0</v>
      </c>
      <c r="E34" s="129" t="str">
        <f>IF(ISERROR(#REF!),"",#REF!)</f>
        <v/>
      </c>
      <c r="F34" s="130">
        <f>IF(ISERROR(P26),"",P26)</f>
        <v>0</v>
      </c>
      <c r="G34" s="126" t="str">
        <f>IF(ISERROR(E34/A34),"",E34/A34)</f>
        <v/>
      </c>
      <c r="H34" s="127" t="str">
        <f>IF(ISERROR(E34/A34/G$3),"",E34/A34/G$3)</f>
        <v/>
      </c>
      <c r="I34" s="128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8">
        <f ca="1">TODAY()</f>
        <v>45610</v>
      </c>
      <c r="D39" s="91"/>
      <c r="E39" s="92"/>
      <c r="F39" s="91"/>
      <c r="G39" s="157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45640</v>
      </c>
      <c r="D40" s="19">
        <f>IF(B40&lt;=$F$21,$F$7/$F$21,0)</f>
        <v>4333.333333333333</v>
      </c>
      <c r="E40" s="20">
        <f>IF(AND(B40&gt;F$13,B40&lt;=$F$21),F$7*F$19,0)</f>
        <v>1300</v>
      </c>
      <c r="F40" s="180">
        <f>IF(B40&lt;=$F$21,F$7*F$9/12,0)</f>
        <v>0.43333333333333335</v>
      </c>
      <c r="G40" s="208">
        <f t="shared" ref="G40:G71" si="0">IF(B$40&lt;=F$21,D40+E40+F40,0)</f>
        <v>5633.7666666666664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45671</v>
      </c>
      <c r="D41" s="19">
        <f t="shared" ref="D41:D87" si="2">IF(B41&lt;=$F$21,$F$7/$F$21,0)</f>
        <v>4333.333333333333</v>
      </c>
      <c r="E41" s="20">
        <f t="shared" ref="E41:E99" si="3">IF(AND(B41&gt;F$13,B41&lt;=$F$21),F$7*F$19,0)</f>
        <v>1300</v>
      </c>
      <c r="F41" s="180">
        <f t="shared" ref="F41:F99" si="4">IF(B41&lt;=$F$21,F$7*F$9/12,0)</f>
        <v>0.43333333333333335</v>
      </c>
      <c r="G41" s="208">
        <f t="shared" si="0"/>
        <v>5633.7666666666664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45702</v>
      </c>
      <c r="D42" s="19">
        <f t="shared" si="2"/>
        <v>4333.333333333333</v>
      </c>
      <c r="E42" s="20">
        <f t="shared" si="3"/>
        <v>1300</v>
      </c>
      <c r="F42" s="180">
        <f t="shared" si="4"/>
        <v>0.43333333333333335</v>
      </c>
      <c r="G42" s="208">
        <f t="shared" si="0"/>
        <v>5633.7666666666664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45730</v>
      </c>
      <c r="D43" s="19">
        <f t="shared" si="2"/>
        <v>4333.333333333333</v>
      </c>
      <c r="E43" s="20">
        <f t="shared" si="3"/>
        <v>1300</v>
      </c>
      <c r="F43" s="180">
        <f t="shared" si="4"/>
        <v>0.43333333333333335</v>
      </c>
      <c r="G43" s="208">
        <f t="shared" si="0"/>
        <v>5633.7666666666664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45761</v>
      </c>
      <c r="D44" s="19">
        <f t="shared" si="2"/>
        <v>4333.333333333333</v>
      </c>
      <c r="E44" s="20">
        <f t="shared" si="3"/>
        <v>1300</v>
      </c>
      <c r="F44" s="180">
        <f t="shared" si="4"/>
        <v>0.43333333333333335</v>
      </c>
      <c r="G44" s="208">
        <f t="shared" si="0"/>
        <v>5633.7666666666664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45791</v>
      </c>
      <c r="D45" s="19">
        <f t="shared" si="2"/>
        <v>4333.333333333333</v>
      </c>
      <c r="E45" s="20">
        <f t="shared" si="3"/>
        <v>1300</v>
      </c>
      <c r="F45" s="180">
        <f t="shared" si="4"/>
        <v>0.43333333333333335</v>
      </c>
      <c r="G45" s="208">
        <f t="shared" si="0"/>
        <v>5633.7666666666664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45822</v>
      </c>
      <c r="D46" s="19">
        <f t="shared" si="2"/>
        <v>4333.333333333333</v>
      </c>
      <c r="E46" s="20">
        <f t="shared" si="3"/>
        <v>1300</v>
      </c>
      <c r="F46" s="180">
        <f t="shared" si="4"/>
        <v>0.43333333333333335</v>
      </c>
      <c r="G46" s="208">
        <f t="shared" si="0"/>
        <v>5633.7666666666664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45852</v>
      </c>
      <c r="D47" s="19">
        <f t="shared" si="2"/>
        <v>4333.333333333333</v>
      </c>
      <c r="E47" s="20">
        <f t="shared" si="3"/>
        <v>1300</v>
      </c>
      <c r="F47" s="180">
        <f t="shared" si="4"/>
        <v>0.43333333333333335</v>
      </c>
      <c r="G47" s="208">
        <f t="shared" si="0"/>
        <v>5633.7666666666664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45883</v>
      </c>
      <c r="D48" s="19">
        <f t="shared" si="2"/>
        <v>4333.333333333333</v>
      </c>
      <c r="E48" s="20">
        <f t="shared" si="3"/>
        <v>1300</v>
      </c>
      <c r="F48" s="180">
        <f t="shared" si="4"/>
        <v>0.43333333333333335</v>
      </c>
      <c r="G48" s="208">
        <f t="shared" si="0"/>
        <v>5633.7666666666664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45914</v>
      </c>
      <c r="D49" s="19">
        <f t="shared" si="2"/>
        <v>4333.333333333333</v>
      </c>
      <c r="E49" s="20">
        <f t="shared" si="3"/>
        <v>1300</v>
      </c>
      <c r="F49" s="180">
        <f t="shared" si="4"/>
        <v>0.43333333333333335</v>
      </c>
      <c r="G49" s="208">
        <f t="shared" si="0"/>
        <v>5633.7666666666664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45944</v>
      </c>
      <c r="D50" s="19">
        <f t="shared" si="2"/>
        <v>4333.333333333333</v>
      </c>
      <c r="E50" s="20">
        <f t="shared" si="3"/>
        <v>1300</v>
      </c>
      <c r="F50" s="180">
        <f t="shared" si="4"/>
        <v>0.43333333333333335</v>
      </c>
      <c r="G50" s="208">
        <f t="shared" si="0"/>
        <v>5633.7666666666664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45975</v>
      </c>
      <c r="D51" s="19">
        <f t="shared" si="2"/>
        <v>4333.333333333333</v>
      </c>
      <c r="E51" s="20">
        <f t="shared" si="3"/>
        <v>1300</v>
      </c>
      <c r="F51" s="180">
        <f t="shared" si="4"/>
        <v>0.43333333333333335</v>
      </c>
      <c r="G51" s="208">
        <f t="shared" si="0"/>
        <v>5633.7666666666664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46005</v>
      </c>
      <c r="D52" s="19">
        <f t="shared" si="2"/>
        <v>0</v>
      </c>
      <c r="E52" s="20">
        <f t="shared" si="3"/>
        <v>0</v>
      </c>
      <c r="F52" s="180">
        <f t="shared" si="4"/>
        <v>0</v>
      </c>
      <c r="G52" s="208">
        <f t="shared" si="0"/>
        <v>0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46036</v>
      </c>
      <c r="D53" s="19">
        <f t="shared" si="2"/>
        <v>0</v>
      </c>
      <c r="E53" s="20">
        <f t="shared" si="3"/>
        <v>0</v>
      </c>
      <c r="F53" s="180">
        <f t="shared" si="4"/>
        <v>0</v>
      </c>
      <c r="G53" s="208">
        <f t="shared" si="0"/>
        <v>0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46067</v>
      </c>
      <c r="D54" s="19">
        <f t="shared" si="2"/>
        <v>0</v>
      </c>
      <c r="E54" s="20">
        <f t="shared" si="3"/>
        <v>0</v>
      </c>
      <c r="F54" s="180">
        <f t="shared" si="4"/>
        <v>0</v>
      </c>
      <c r="G54" s="208">
        <f t="shared" si="0"/>
        <v>0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46095</v>
      </c>
      <c r="D55" s="19">
        <f t="shared" si="2"/>
        <v>0</v>
      </c>
      <c r="E55" s="20">
        <f t="shared" si="3"/>
        <v>0</v>
      </c>
      <c r="F55" s="180">
        <f t="shared" si="4"/>
        <v>0</v>
      </c>
      <c r="G55" s="208">
        <f t="shared" si="0"/>
        <v>0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46126</v>
      </c>
      <c r="D56" s="19">
        <f t="shared" si="2"/>
        <v>0</v>
      </c>
      <c r="E56" s="20">
        <f t="shared" si="3"/>
        <v>0</v>
      </c>
      <c r="F56" s="180">
        <f t="shared" si="4"/>
        <v>0</v>
      </c>
      <c r="G56" s="208">
        <f t="shared" si="0"/>
        <v>0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46156</v>
      </c>
      <c r="D57" s="19">
        <f t="shared" si="2"/>
        <v>0</v>
      </c>
      <c r="E57" s="20">
        <f t="shared" si="3"/>
        <v>0</v>
      </c>
      <c r="F57" s="180">
        <f t="shared" si="4"/>
        <v>0</v>
      </c>
      <c r="G57" s="208">
        <f t="shared" si="0"/>
        <v>0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46187</v>
      </c>
      <c r="D58" s="19">
        <f t="shared" si="2"/>
        <v>0</v>
      </c>
      <c r="E58" s="20">
        <f t="shared" si="3"/>
        <v>0</v>
      </c>
      <c r="F58" s="180">
        <f t="shared" si="4"/>
        <v>0</v>
      </c>
      <c r="G58" s="208">
        <f t="shared" si="0"/>
        <v>0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46217</v>
      </c>
      <c r="D59" s="19">
        <f t="shared" si="2"/>
        <v>0</v>
      </c>
      <c r="E59" s="20">
        <f t="shared" si="3"/>
        <v>0</v>
      </c>
      <c r="F59" s="180">
        <f t="shared" si="4"/>
        <v>0</v>
      </c>
      <c r="G59" s="208">
        <f t="shared" si="0"/>
        <v>0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46248</v>
      </c>
      <c r="D60" s="19">
        <f t="shared" si="2"/>
        <v>0</v>
      </c>
      <c r="E60" s="20">
        <f t="shared" si="3"/>
        <v>0</v>
      </c>
      <c r="F60" s="180">
        <f t="shared" si="4"/>
        <v>0</v>
      </c>
      <c r="G60" s="208">
        <f t="shared" si="0"/>
        <v>0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46279</v>
      </c>
      <c r="D61" s="19">
        <f t="shared" si="2"/>
        <v>0</v>
      </c>
      <c r="E61" s="20">
        <f t="shared" si="3"/>
        <v>0</v>
      </c>
      <c r="F61" s="180">
        <f t="shared" si="4"/>
        <v>0</v>
      </c>
      <c r="G61" s="208">
        <f t="shared" si="0"/>
        <v>0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46309</v>
      </c>
      <c r="D62" s="19">
        <f t="shared" si="2"/>
        <v>0</v>
      </c>
      <c r="E62" s="20">
        <f t="shared" si="3"/>
        <v>0</v>
      </c>
      <c r="F62" s="180">
        <f t="shared" si="4"/>
        <v>0</v>
      </c>
      <c r="G62" s="208">
        <f t="shared" si="0"/>
        <v>0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46340</v>
      </c>
      <c r="D63" s="19">
        <f t="shared" si="2"/>
        <v>0</v>
      </c>
      <c r="E63" s="20">
        <f t="shared" si="3"/>
        <v>0</v>
      </c>
      <c r="F63" s="180">
        <f t="shared" si="4"/>
        <v>0</v>
      </c>
      <c r="G63" s="208">
        <f t="shared" si="0"/>
        <v>0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46370</v>
      </c>
      <c r="D64" s="19">
        <f t="shared" si="2"/>
        <v>0</v>
      </c>
      <c r="E64" s="20">
        <f t="shared" si="3"/>
        <v>0</v>
      </c>
      <c r="F64" s="180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46401</v>
      </c>
      <c r="D65" s="19">
        <f t="shared" si="2"/>
        <v>0</v>
      </c>
      <c r="E65" s="20">
        <f t="shared" si="3"/>
        <v>0</v>
      </c>
      <c r="F65" s="180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46432</v>
      </c>
      <c r="D66" s="19">
        <f t="shared" si="2"/>
        <v>0</v>
      </c>
      <c r="E66" s="20">
        <f t="shared" si="3"/>
        <v>0</v>
      </c>
      <c r="F66" s="180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46460</v>
      </c>
      <c r="D67" s="19">
        <f t="shared" si="2"/>
        <v>0</v>
      </c>
      <c r="E67" s="20">
        <f t="shared" si="3"/>
        <v>0</v>
      </c>
      <c r="F67" s="180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46491</v>
      </c>
      <c r="D68" s="19">
        <f t="shared" si="2"/>
        <v>0</v>
      </c>
      <c r="E68" s="20">
        <f t="shared" si="3"/>
        <v>0</v>
      </c>
      <c r="F68" s="180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46521</v>
      </c>
      <c r="D69" s="19">
        <f t="shared" si="2"/>
        <v>0</v>
      </c>
      <c r="E69" s="20">
        <f t="shared" si="3"/>
        <v>0</v>
      </c>
      <c r="F69" s="180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46552</v>
      </c>
      <c r="D70" s="19">
        <f t="shared" si="2"/>
        <v>0</v>
      </c>
      <c r="E70" s="20">
        <f t="shared" si="3"/>
        <v>0</v>
      </c>
      <c r="F70" s="180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46582</v>
      </c>
      <c r="D71" s="19">
        <f t="shared" si="2"/>
        <v>0</v>
      </c>
      <c r="E71" s="20">
        <f t="shared" si="3"/>
        <v>0</v>
      </c>
      <c r="F71" s="180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46613</v>
      </c>
      <c r="D72" s="19">
        <f t="shared" si="2"/>
        <v>0</v>
      </c>
      <c r="E72" s="20">
        <f t="shared" si="3"/>
        <v>0</v>
      </c>
      <c r="F72" s="180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46644</v>
      </c>
      <c r="D73" s="19">
        <f t="shared" si="2"/>
        <v>0</v>
      </c>
      <c r="E73" s="20">
        <f t="shared" si="3"/>
        <v>0</v>
      </c>
      <c r="F73" s="180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46674</v>
      </c>
      <c r="D74" s="19">
        <f t="shared" si="2"/>
        <v>0</v>
      </c>
      <c r="E74" s="20">
        <f t="shared" si="3"/>
        <v>0</v>
      </c>
      <c r="F74" s="180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46705</v>
      </c>
      <c r="D75" s="19">
        <f t="shared" si="2"/>
        <v>0</v>
      </c>
      <c r="E75" s="20">
        <f t="shared" si="3"/>
        <v>0</v>
      </c>
      <c r="F75" s="180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46735</v>
      </c>
      <c r="D76" s="19">
        <f t="shared" si="2"/>
        <v>0</v>
      </c>
      <c r="E76" s="20">
        <f t="shared" si="3"/>
        <v>0</v>
      </c>
      <c r="F76" s="180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46766</v>
      </c>
      <c r="D77" s="19">
        <f t="shared" si="2"/>
        <v>0</v>
      </c>
      <c r="E77" s="20">
        <f t="shared" si="3"/>
        <v>0</v>
      </c>
      <c r="F77" s="180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46797</v>
      </c>
      <c r="D78" s="19">
        <f t="shared" si="2"/>
        <v>0</v>
      </c>
      <c r="E78" s="20">
        <f t="shared" si="3"/>
        <v>0</v>
      </c>
      <c r="F78" s="180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46826</v>
      </c>
      <c r="D79" s="19">
        <f t="shared" si="2"/>
        <v>0</v>
      </c>
      <c r="E79" s="20">
        <f t="shared" si="3"/>
        <v>0</v>
      </c>
      <c r="F79" s="180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46857</v>
      </c>
      <c r="D80" s="19">
        <f t="shared" si="2"/>
        <v>0</v>
      </c>
      <c r="E80" s="20">
        <f t="shared" si="3"/>
        <v>0</v>
      </c>
      <c r="F80" s="180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46887</v>
      </c>
      <c r="D81" s="19">
        <f t="shared" si="2"/>
        <v>0</v>
      </c>
      <c r="E81" s="20">
        <f t="shared" si="3"/>
        <v>0</v>
      </c>
      <c r="F81" s="180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46918</v>
      </c>
      <c r="D82" s="19">
        <f t="shared" si="2"/>
        <v>0</v>
      </c>
      <c r="E82" s="20">
        <f t="shared" si="3"/>
        <v>0</v>
      </c>
      <c r="F82" s="180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46948</v>
      </c>
      <c r="D83" s="19">
        <f t="shared" si="2"/>
        <v>0</v>
      </c>
      <c r="E83" s="20">
        <f t="shared" si="3"/>
        <v>0</v>
      </c>
      <c r="F83" s="180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46979</v>
      </c>
      <c r="D84" s="19">
        <f t="shared" si="2"/>
        <v>0</v>
      </c>
      <c r="E84" s="20">
        <f t="shared" si="3"/>
        <v>0</v>
      </c>
      <c r="F84" s="180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47010</v>
      </c>
      <c r="D85" s="19">
        <f t="shared" si="2"/>
        <v>0</v>
      </c>
      <c r="E85" s="20">
        <f t="shared" si="3"/>
        <v>0</v>
      </c>
      <c r="F85" s="180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47040</v>
      </c>
      <c r="D86" s="19">
        <f t="shared" si="2"/>
        <v>0</v>
      </c>
      <c r="E86" s="20">
        <f t="shared" si="3"/>
        <v>0</v>
      </c>
      <c r="F86" s="180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47071</v>
      </c>
      <c r="D87" s="19">
        <f t="shared" si="2"/>
        <v>0</v>
      </c>
      <c r="E87" s="20">
        <f t="shared" si="3"/>
        <v>0</v>
      </c>
      <c r="F87" s="180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47101</v>
      </c>
      <c r="D88" s="178">
        <f t="shared" ref="D88:D99" si="6">IF(B88&lt;=$F$21,(($F$5+F$15)+(($F$5+F$15)*F$11))/$F$21,0)</f>
        <v>0</v>
      </c>
      <c r="E88" s="179">
        <f t="shared" si="3"/>
        <v>0</v>
      </c>
      <c r="F88" s="180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47132</v>
      </c>
      <c r="D89" s="107">
        <f t="shared" si="6"/>
        <v>0</v>
      </c>
      <c r="E89" s="108">
        <f t="shared" si="3"/>
        <v>0</v>
      </c>
      <c r="F89" s="180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47163</v>
      </c>
      <c r="D90" s="107">
        <f t="shared" si="6"/>
        <v>0</v>
      </c>
      <c r="E90" s="108">
        <f t="shared" si="3"/>
        <v>0</v>
      </c>
      <c r="F90" s="180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47191</v>
      </c>
      <c r="D91" s="107">
        <f t="shared" si="6"/>
        <v>0</v>
      </c>
      <c r="E91" s="108">
        <f t="shared" si="3"/>
        <v>0</v>
      </c>
      <c r="F91" s="180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47222</v>
      </c>
      <c r="D92" s="107">
        <f t="shared" si="6"/>
        <v>0</v>
      </c>
      <c r="E92" s="108">
        <f t="shared" si="3"/>
        <v>0</v>
      </c>
      <c r="F92" s="180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47252</v>
      </c>
      <c r="D93" s="107">
        <f t="shared" si="6"/>
        <v>0</v>
      </c>
      <c r="E93" s="108">
        <f t="shared" si="3"/>
        <v>0</v>
      </c>
      <c r="F93" s="180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47283</v>
      </c>
      <c r="D94" s="107">
        <f t="shared" si="6"/>
        <v>0</v>
      </c>
      <c r="E94" s="108">
        <f t="shared" si="3"/>
        <v>0</v>
      </c>
      <c r="F94" s="180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47313</v>
      </c>
      <c r="D95" s="107">
        <f t="shared" si="6"/>
        <v>0</v>
      </c>
      <c r="E95" s="108">
        <f t="shared" si="3"/>
        <v>0</v>
      </c>
      <c r="F95" s="180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47344</v>
      </c>
      <c r="D96" s="107">
        <f t="shared" si="6"/>
        <v>0</v>
      </c>
      <c r="E96" s="108">
        <f t="shared" si="3"/>
        <v>0</v>
      </c>
      <c r="F96" s="180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47375</v>
      </c>
      <c r="D97" s="107">
        <f t="shared" si="6"/>
        <v>0</v>
      </c>
      <c r="E97" s="108">
        <f t="shared" si="3"/>
        <v>0</v>
      </c>
      <c r="F97" s="180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47405</v>
      </c>
      <c r="D98" s="107">
        <f t="shared" si="6"/>
        <v>0</v>
      </c>
      <c r="E98" s="108">
        <f t="shared" si="3"/>
        <v>0</v>
      </c>
      <c r="F98" s="180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47436</v>
      </c>
      <c r="D99" s="107">
        <f t="shared" si="6"/>
        <v>0</v>
      </c>
      <c r="E99" s="108">
        <f t="shared" si="3"/>
        <v>0</v>
      </c>
      <c r="F99" s="180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52000.000000000007</v>
      </c>
      <c r="E100" s="93">
        <f>SUM(E40:E99)</f>
        <v>15600</v>
      </c>
      <c r="F100" s="99">
        <f>SUM(F40:F99)</f>
        <v>5.200000000000002</v>
      </c>
      <c r="G100" s="211">
        <f>SUM(G40:H99)</f>
        <v>67605.199999999983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Ds08/GkIKtg9vawafFlrxL3hr6jmeVpjtLnrbjQPfpSdT88s1IwzsJ/Bo9UUswDOSkNXdxoB0PcvGfgxNV/mWA==" saltValue="auzt8VyzR2bQU2CtXysxtQ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$L$7:$L$14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7" t="s">
        <v>154</v>
      </c>
      <c r="E5" s="177" t="s">
        <v>49</v>
      </c>
    </row>
    <row r="6" spans="2:11" ht="13.15" customHeight="1" x14ac:dyDescent="0.2">
      <c r="B6" s="231" t="s">
        <v>155</v>
      </c>
      <c r="C6" s="232"/>
      <c r="D6" s="176" t="s">
        <v>61</v>
      </c>
      <c r="E6" s="176" t="s">
        <v>62</v>
      </c>
    </row>
    <row r="7" spans="2:11" x14ac:dyDescent="0.2">
      <c r="B7" s="233"/>
      <c r="C7" s="234"/>
      <c r="D7" s="176" t="s">
        <v>63</v>
      </c>
      <c r="E7" s="176" t="s">
        <v>64</v>
      </c>
    </row>
    <row r="8" spans="2:11" x14ac:dyDescent="0.2">
      <c r="B8" s="233"/>
      <c r="C8" s="234"/>
      <c r="D8" s="176" t="s">
        <v>65</v>
      </c>
      <c r="E8" s="176" t="s">
        <v>66</v>
      </c>
    </row>
    <row r="9" spans="2:11" x14ac:dyDescent="0.2">
      <c r="B9" s="233"/>
      <c r="C9" s="234"/>
      <c r="D9" s="176" t="s">
        <v>67</v>
      </c>
      <c r="E9" s="176" t="s">
        <v>68</v>
      </c>
    </row>
    <row r="10" spans="2:11" x14ac:dyDescent="0.2">
      <c r="B10" s="233"/>
      <c r="C10" s="234"/>
      <c r="D10" s="176" t="s">
        <v>69</v>
      </c>
      <c r="E10" s="176" t="s">
        <v>57</v>
      </c>
    </row>
    <row r="11" spans="2:11" x14ac:dyDescent="0.2">
      <c r="B11" s="233"/>
      <c r="C11" s="234"/>
      <c r="D11" s="176" t="s">
        <v>70</v>
      </c>
      <c r="E11" s="176" t="s">
        <v>71</v>
      </c>
    </row>
    <row r="12" spans="2:11" x14ac:dyDescent="0.2">
      <c r="B12" s="233"/>
      <c r="C12" s="234"/>
      <c r="D12" s="176" t="s">
        <v>72</v>
      </c>
      <c r="E12" s="176" t="s">
        <v>73</v>
      </c>
    </row>
    <row r="13" spans="2:11" x14ac:dyDescent="0.2">
      <c r="B13" s="233"/>
      <c r="C13" s="234"/>
      <c r="D13" s="176" t="s">
        <v>74</v>
      </c>
      <c r="E13" s="176" t="s">
        <v>75</v>
      </c>
    </row>
    <row r="14" spans="2:11" x14ac:dyDescent="0.2">
      <c r="B14" s="233"/>
      <c r="C14" s="234"/>
      <c r="D14" s="176" t="s">
        <v>76</v>
      </c>
      <c r="E14" s="176" t="s">
        <v>77</v>
      </c>
    </row>
    <row r="15" spans="2:11" x14ac:dyDescent="0.2">
      <c r="B15" s="233"/>
      <c r="C15" s="234"/>
      <c r="D15" s="176" t="s">
        <v>78</v>
      </c>
      <c r="E15" s="176" t="s">
        <v>79</v>
      </c>
    </row>
    <row r="16" spans="2:11" x14ac:dyDescent="0.2">
      <c r="B16" s="233"/>
      <c r="C16" s="234"/>
      <c r="D16" s="176" t="s">
        <v>80</v>
      </c>
      <c r="E16" s="176" t="s">
        <v>81</v>
      </c>
    </row>
    <row r="17" spans="2:5" x14ac:dyDescent="0.2">
      <c r="B17" s="233"/>
      <c r="C17" s="234"/>
      <c r="D17" s="176" t="s">
        <v>82</v>
      </c>
      <c r="E17" s="176" t="s">
        <v>83</v>
      </c>
    </row>
    <row r="18" spans="2:5" x14ac:dyDescent="0.2">
      <c r="B18" s="233"/>
      <c r="C18" s="234"/>
      <c r="D18" s="176" t="s">
        <v>84</v>
      </c>
      <c r="E18" s="176" t="s">
        <v>85</v>
      </c>
    </row>
    <row r="19" spans="2:5" x14ac:dyDescent="0.2">
      <c r="B19" s="233"/>
      <c r="C19" s="234"/>
      <c r="D19" s="176" t="s">
        <v>86</v>
      </c>
      <c r="E19" s="176" t="s">
        <v>87</v>
      </c>
    </row>
    <row r="20" spans="2:5" x14ac:dyDescent="0.2">
      <c r="B20" s="233"/>
      <c r="C20" s="234"/>
      <c r="D20" s="176" t="s">
        <v>88</v>
      </c>
      <c r="E20" s="176" t="s">
        <v>89</v>
      </c>
    </row>
    <row r="21" spans="2:5" x14ac:dyDescent="0.2">
      <c r="B21" s="233"/>
      <c r="C21" s="234"/>
      <c r="D21" s="176" t="s">
        <v>90</v>
      </c>
      <c r="E21" s="176" t="s">
        <v>91</v>
      </c>
    </row>
    <row r="22" spans="2:5" x14ac:dyDescent="0.2">
      <c r="B22" s="233"/>
      <c r="C22" s="234"/>
      <c r="D22" s="176" t="s">
        <v>92</v>
      </c>
      <c r="E22" s="176" t="s">
        <v>93</v>
      </c>
    </row>
    <row r="23" spans="2:5" x14ac:dyDescent="0.2">
      <c r="B23" s="233"/>
      <c r="C23" s="234"/>
      <c r="D23" s="176" t="s">
        <v>94</v>
      </c>
      <c r="E23" s="176" t="s">
        <v>95</v>
      </c>
    </row>
    <row r="24" spans="2:5" x14ac:dyDescent="0.2">
      <c r="B24" s="233"/>
      <c r="C24" s="234"/>
      <c r="D24" s="176" t="s">
        <v>96</v>
      </c>
      <c r="E24" s="176" t="s">
        <v>97</v>
      </c>
    </row>
    <row r="25" spans="2:5" x14ac:dyDescent="0.2">
      <c r="B25" s="233"/>
      <c r="C25" s="234"/>
      <c r="D25" s="176" t="s">
        <v>98</v>
      </c>
      <c r="E25" s="176" t="s">
        <v>99</v>
      </c>
    </row>
    <row r="26" spans="2:5" x14ac:dyDescent="0.2">
      <c r="B26" s="233"/>
      <c r="C26" s="234"/>
      <c r="D26" s="176" t="s">
        <v>100</v>
      </c>
      <c r="E26" s="176" t="s">
        <v>101</v>
      </c>
    </row>
    <row r="27" spans="2:5" x14ac:dyDescent="0.2">
      <c r="B27" s="233"/>
      <c r="C27" s="234"/>
      <c r="D27" s="176" t="s">
        <v>102</v>
      </c>
      <c r="E27" s="176" t="s">
        <v>103</v>
      </c>
    </row>
    <row r="28" spans="2:5" x14ac:dyDescent="0.2">
      <c r="B28" s="233"/>
      <c r="C28" s="234"/>
      <c r="D28" s="176" t="s">
        <v>104</v>
      </c>
      <c r="E28" s="176" t="s">
        <v>105</v>
      </c>
    </row>
    <row r="29" spans="2:5" x14ac:dyDescent="0.2">
      <c r="B29" s="233"/>
      <c r="C29" s="234"/>
      <c r="D29" s="176" t="s">
        <v>50</v>
      </c>
      <c r="E29" s="176" t="s">
        <v>51</v>
      </c>
    </row>
    <row r="30" spans="2:5" x14ac:dyDescent="0.2">
      <c r="B30" s="233"/>
      <c r="C30" s="234"/>
      <c r="D30" s="176" t="s">
        <v>106</v>
      </c>
      <c r="E30" s="176" t="s">
        <v>107</v>
      </c>
    </row>
    <row r="31" spans="2:5" x14ac:dyDescent="0.2">
      <c r="B31" s="233"/>
      <c r="C31" s="234"/>
      <c r="D31" s="176" t="s">
        <v>108</v>
      </c>
      <c r="E31" s="176" t="s">
        <v>109</v>
      </c>
    </row>
    <row r="32" spans="2:5" x14ac:dyDescent="0.2">
      <c r="B32" s="233"/>
      <c r="C32" s="234"/>
      <c r="D32" s="176" t="s">
        <v>110</v>
      </c>
      <c r="E32" s="176" t="s">
        <v>52</v>
      </c>
    </row>
    <row r="33" spans="2:5" x14ac:dyDescent="0.2">
      <c r="B33" s="233"/>
      <c r="C33" s="234"/>
      <c r="D33" s="176" t="s">
        <v>111</v>
      </c>
      <c r="E33" s="176" t="s">
        <v>112</v>
      </c>
    </row>
    <row r="34" spans="2:5" x14ac:dyDescent="0.2">
      <c r="B34" s="233"/>
      <c r="C34" s="234"/>
      <c r="D34" s="176" t="s">
        <v>113</v>
      </c>
      <c r="E34" s="176" t="s">
        <v>114</v>
      </c>
    </row>
    <row r="35" spans="2:5" x14ac:dyDescent="0.2">
      <c r="B35" s="233"/>
      <c r="C35" s="234"/>
      <c r="D35" s="176" t="s">
        <v>117</v>
      </c>
      <c r="E35" s="176" t="s">
        <v>118</v>
      </c>
    </row>
    <row r="36" spans="2:5" x14ac:dyDescent="0.2">
      <c r="B36" s="233"/>
      <c r="C36" s="234"/>
      <c r="D36" s="176" t="s">
        <v>119</v>
      </c>
      <c r="E36" s="176" t="s">
        <v>120</v>
      </c>
    </row>
    <row r="37" spans="2:5" x14ac:dyDescent="0.2">
      <c r="B37" s="233"/>
      <c r="C37" s="234"/>
      <c r="D37" s="176" t="s">
        <v>121</v>
      </c>
      <c r="E37" s="176" t="s">
        <v>122</v>
      </c>
    </row>
    <row r="38" spans="2:5" x14ac:dyDescent="0.2">
      <c r="B38" s="233"/>
      <c r="C38" s="234"/>
      <c r="D38" s="176" t="s">
        <v>123</v>
      </c>
      <c r="E38" s="176" t="s">
        <v>124</v>
      </c>
    </row>
    <row r="39" spans="2:5" x14ac:dyDescent="0.2">
      <c r="B39" s="233"/>
      <c r="C39" s="234"/>
      <c r="D39" s="176" t="s">
        <v>125</v>
      </c>
      <c r="E39" s="176" t="s">
        <v>126</v>
      </c>
    </row>
    <row r="40" spans="2:5" x14ac:dyDescent="0.2">
      <c r="B40" s="233"/>
      <c r="C40" s="234"/>
      <c r="D40" s="176" t="s">
        <v>53</v>
      </c>
      <c r="E40" s="176" t="s">
        <v>127</v>
      </c>
    </row>
    <row r="41" spans="2:5" x14ac:dyDescent="0.2">
      <c r="B41" s="233"/>
      <c r="C41" s="234"/>
      <c r="D41" s="176" t="s">
        <v>128</v>
      </c>
      <c r="E41" s="176" t="s">
        <v>129</v>
      </c>
    </row>
    <row r="42" spans="2:5" x14ac:dyDescent="0.2">
      <c r="B42" s="233"/>
      <c r="C42" s="234"/>
      <c r="D42" s="176" t="s">
        <v>130</v>
      </c>
      <c r="E42" s="176" t="s">
        <v>131</v>
      </c>
    </row>
    <row r="43" spans="2:5" x14ac:dyDescent="0.2">
      <c r="B43" s="233"/>
      <c r="C43" s="234"/>
      <c r="D43" s="176" t="s">
        <v>132</v>
      </c>
      <c r="E43" s="176" t="s">
        <v>133</v>
      </c>
    </row>
    <row r="44" spans="2:5" x14ac:dyDescent="0.2">
      <c r="B44" s="233"/>
      <c r="C44" s="234"/>
      <c r="D44" s="176" t="s">
        <v>134</v>
      </c>
      <c r="E44" s="176" t="s">
        <v>135</v>
      </c>
    </row>
    <row r="45" spans="2:5" x14ac:dyDescent="0.2">
      <c r="B45" s="233"/>
      <c r="C45" s="234"/>
      <c r="D45" s="176" t="s">
        <v>54</v>
      </c>
      <c r="E45" s="176" t="s">
        <v>55</v>
      </c>
    </row>
    <row r="46" spans="2:5" x14ac:dyDescent="0.2">
      <c r="B46" s="233"/>
      <c r="C46" s="234"/>
      <c r="D46" s="176" t="s">
        <v>136</v>
      </c>
      <c r="E46" s="176" t="s">
        <v>137</v>
      </c>
    </row>
    <row r="47" spans="2:5" x14ac:dyDescent="0.2">
      <c r="B47" s="233"/>
      <c r="C47" s="234"/>
      <c r="D47" s="176" t="s">
        <v>138</v>
      </c>
      <c r="E47" s="176" t="s">
        <v>56</v>
      </c>
    </row>
    <row r="48" spans="2:5" x14ac:dyDescent="0.2">
      <c r="B48" s="233"/>
      <c r="C48" s="234"/>
      <c r="D48" s="176" t="s">
        <v>139</v>
      </c>
      <c r="E48" s="176" t="s">
        <v>140</v>
      </c>
    </row>
    <row r="49" spans="2:5" x14ac:dyDescent="0.2">
      <c r="B49" s="233"/>
      <c r="C49" s="234"/>
      <c r="D49" s="176" t="s">
        <v>141</v>
      </c>
      <c r="E49" s="176" t="s">
        <v>142</v>
      </c>
    </row>
    <row r="50" spans="2:5" x14ac:dyDescent="0.2">
      <c r="B50" s="233"/>
      <c r="C50" s="234"/>
      <c r="D50" s="176" t="s">
        <v>145</v>
      </c>
      <c r="E50" s="176" t="s">
        <v>146</v>
      </c>
    </row>
    <row r="51" spans="2:5" x14ac:dyDescent="0.2">
      <c r="B51" s="233"/>
      <c r="C51" s="234"/>
      <c r="D51" s="176" t="s">
        <v>147</v>
      </c>
      <c r="E51" s="176" t="s">
        <v>148</v>
      </c>
    </row>
    <row r="52" spans="2:5" x14ac:dyDescent="0.2">
      <c r="B52" s="233"/>
      <c r="C52" s="234"/>
      <c r="D52" s="176" t="s">
        <v>149</v>
      </c>
      <c r="E52" s="176" t="s">
        <v>150</v>
      </c>
    </row>
    <row r="53" spans="2:5" ht="13.15" customHeight="1" x14ac:dyDescent="0.2">
      <c r="B53" s="235"/>
      <c r="C53" s="236"/>
      <c r="D53" s="176" t="s">
        <v>58</v>
      </c>
      <c r="E53" s="176" t="s">
        <v>59</v>
      </c>
    </row>
    <row r="54" spans="2:5" x14ac:dyDescent="0.2">
      <c r="B54" s="237" t="s">
        <v>152</v>
      </c>
      <c r="C54" s="238"/>
      <c r="D54" s="181" t="s">
        <v>115</v>
      </c>
      <c r="E54" s="181" t="s">
        <v>116</v>
      </c>
    </row>
    <row r="55" spans="2:5" x14ac:dyDescent="0.2">
      <c r="B55" s="239" t="s">
        <v>153</v>
      </c>
      <c r="C55" s="239"/>
      <c r="D55" s="176" t="s">
        <v>143</v>
      </c>
      <c r="E55" s="176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zoomScale="85" zoomScaleNormal="85" workbookViewId="0">
      <selection activeCell="B11" sqref="B11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0" customFormat="1" x14ac:dyDescent="0.2">
      <c r="A4" s="150" t="s">
        <v>160</v>
      </c>
      <c r="B4" s="185">
        <v>192307.69</v>
      </c>
      <c r="C4" s="150">
        <v>12</v>
      </c>
      <c r="D4" s="151">
        <v>1E-4</v>
      </c>
      <c r="E4" s="151">
        <v>0</v>
      </c>
      <c r="F4" s="151">
        <v>2.5000000000000001E-2</v>
      </c>
      <c r="G4" s="150" t="str">
        <f t="shared" ref="G4:G7" si="0">I$2&amp;" "&amp;B4&amp;" "&amp;H$2</f>
        <v>max. 192307,69 грн.</v>
      </c>
      <c r="H4" s="183">
        <f>B4+B4*K4</f>
        <v>199999.9976</v>
      </c>
      <c r="I4" s="150">
        <v>0</v>
      </c>
      <c r="K4" s="182">
        <v>0.04</v>
      </c>
      <c r="L4" s="152">
        <f t="shared" ref="L4" si="1">D4/12/(1-1/POWER(1+D4/12,C4))*H4+H4*F4</f>
        <v>21667.569198141362</v>
      </c>
      <c r="M4" s="153">
        <f t="shared" ref="M4:M7" si="2">F4</f>
        <v>2.5000000000000001E-2</v>
      </c>
      <c r="N4" s="153"/>
      <c r="O4" s="154">
        <v>0</v>
      </c>
      <c r="P4" s="150">
        <v>1000</v>
      </c>
    </row>
    <row r="5" spans="1:16" s="150" customFormat="1" x14ac:dyDescent="0.2">
      <c r="A5" s="150" t="s">
        <v>161</v>
      </c>
      <c r="B5" s="185">
        <v>192307.69</v>
      </c>
      <c r="C5" s="150">
        <v>24</v>
      </c>
      <c r="D5" s="151">
        <v>1E-4</v>
      </c>
      <c r="E5" s="151">
        <v>0</v>
      </c>
      <c r="F5" s="151">
        <v>2.5000000000000001E-2</v>
      </c>
      <c r="G5" s="150" t="str">
        <f t="shared" si="0"/>
        <v>max. 192307,69 грн.</v>
      </c>
      <c r="H5" s="183">
        <f t="shared" ref="H5:H6" si="3">B5+B5*K5</f>
        <v>199999.9976</v>
      </c>
      <c r="I5" s="150">
        <v>0</v>
      </c>
      <c r="K5" s="182">
        <v>0.04</v>
      </c>
      <c r="L5" s="152">
        <f t="shared" ref="L5:L7" si="4">D5/12/(1-1/POWER(1+D5/12,C5))*H5+H5*F5</f>
        <v>13334.201256563774</v>
      </c>
      <c r="M5" s="153">
        <f t="shared" si="2"/>
        <v>2.5000000000000001E-2</v>
      </c>
      <c r="N5" s="153"/>
      <c r="O5" s="154">
        <v>0</v>
      </c>
      <c r="P5" s="150">
        <v>1000</v>
      </c>
    </row>
    <row r="6" spans="1:16" x14ac:dyDescent="0.2">
      <c r="A6" s="150" t="s">
        <v>162</v>
      </c>
      <c r="B6" s="185">
        <v>192307.69</v>
      </c>
      <c r="C6" s="150">
        <v>36</v>
      </c>
      <c r="D6" s="151">
        <v>1E-4</v>
      </c>
      <c r="E6" s="151">
        <v>0</v>
      </c>
      <c r="F6" s="151">
        <v>2.5000000000000001E-2</v>
      </c>
      <c r="G6" s="150" t="str">
        <f t="shared" si="0"/>
        <v>max. 192307,69 грн.</v>
      </c>
      <c r="H6" s="183">
        <f t="shared" si="3"/>
        <v>199999.9976</v>
      </c>
      <c r="I6" s="150">
        <v>0</v>
      </c>
      <c r="J6" s="150"/>
      <c r="K6" s="182">
        <v>0.04</v>
      </c>
      <c r="L6" s="152">
        <f t="shared" si="4"/>
        <v>10556.411951965314</v>
      </c>
      <c r="M6" s="153">
        <f t="shared" si="2"/>
        <v>2.5000000000000001E-2</v>
      </c>
      <c r="N6" s="153"/>
      <c r="O6" s="154">
        <v>0</v>
      </c>
      <c r="P6" s="150">
        <v>1000</v>
      </c>
    </row>
    <row r="7" spans="1:16" s="150" customFormat="1" x14ac:dyDescent="0.2">
      <c r="A7" s="150" t="s">
        <v>167</v>
      </c>
      <c r="B7" s="185">
        <v>98039.22</v>
      </c>
      <c r="C7" s="150">
        <v>15</v>
      </c>
      <c r="D7" s="151">
        <v>1E-4</v>
      </c>
      <c r="E7" s="151">
        <v>0</v>
      </c>
      <c r="F7" s="151">
        <v>0.02</v>
      </c>
      <c r="G7" s="150" t="str">
        <f t="shared" si="0"/>
        <v>max. 98039,22 грн.</v>
      </c>
      <c r="H7" s="183">
        <f>B7+B7*K7</f>
        <v>100000.00440000001</v>
      </c>
      <c r="I7" s="150">
        <v>0</v>
      </c>
      <c r="K7" s="182">
        <v>0.02</v>
      </c>
      <c r="L7" s="152">
        <f t="shared" si="4"/>
        <v>8667.1115010656795</v>
      </c>
      <c r="M7" s="153">
        <f t="shared" si="2"/>
        <v>0.02</v>
      </c>
      <c r="N7" s="153"/>
      <c r="O7" s="154">
        <v>0</v>
      </c>
      <c r="P7" s="150">
        <v>1000</v>
      </c>
    </row>
    <row r="8" spans="1:16" s="150" customFormat="1" x14ac:dyDescent="0.2">
      <c r="A8" s="150" t="s">
        <v>163</v>
      </c>
      <c r="B8" s="185">
        <v>200000</v>
      </c>
      <c r="C8" s="150">
        <v>12</v>
      </c>
      <c r="D8" s="151">
        <v>1E-4</v>
      </c>
      <c r="E8" s="151">
        <v>0</v>
      </c>
      <c r="F8" s="151">
        <v>2.9899999999999999E-2</v>
      </c>
      <c r="G8" s="150" t="str">
        <f t="shared" ref="G8:G11" si="5">I$2&amp;" "&amp;B8&amp;" "&amp;H$2</f>
        <v>max. 200000 грн.</v>
      </c>
      <c r="H8" s="183">
        <f>B8+B8*K8</f>
        <v>200000</v>
      </c>
      <c r="I8" s="150">
        <v>0</v>
      </c>
      <c r="K8" s="182">
        <v>0</v>
      </c>
      <c r="L8" s="152">
        <f t="shared" ref="L8:L11" si="6">D8/12/(1-1/POWER(1+D8/12,C8))*H8+H8*F8</f>
        <v>22647.569458152193</v>
      </c>
      <c r="M8" s="153">
        <f t="shared" ref="M8:M11" si="7">F8</f>
        <v>2.9899999999999999E-2</v>
      </c>
      <c r="N8" s="153"/>
      <c r="O8" s="154">
        <v>0</v>
      </c>
      <c r="P8" s="150">
        <v>1000</v>
      </c>
    </row>
    <row r="9" spans="1:16" s="150" customFormat="1" x14ac:dyDescent="0.2">
      <c r="A9" s="150" t="s">
        <v>164</v>
      </c>
      <c r="B9" s="185">
        <v>200000</v>
      </c>
      <c r="C9" s="150">
        <v>18</v>
      </c>
      <c r="D9" s="151">
        <v>1E-4</v>
      </c>
      <c r="E9" s="151">
        <v>0</v>
      </c>
      <c r="F9" s="151">
        <v>2.9899999999999999E-2</v>
      </c>
      <c r="G9" s="150" t="str">
        <f t="shared" si="5"/>
        <v>max. 200000 грн.</v>
      </c>
      <c r="H9" s="183">
        <f t="shared" ref="H9:H11" si="8">B9+B9*K9</f>
        <v>200000</v>
      </c>
      <c r="I9" s="150">
        <v>0</v>
      </c>
      <c r="K9" s="182">
        <v>0</v>
      </c>
      <c r="L9" s="152">
        <f t="shared" si="6"/>
        <v>17091.990761452013</v>
      </c>
      <c r="M9" s="153">
        <f t="shared" si="7"/>
        <v>2.9899999999999999E-2</v>
      </c>
      <c r="N9" s="153"/>
      <c r="O9" s="154">
        <v>0</v>
      </c>
      <c r="P9" s="150">
        <v>1000</v>
      </c>
    </row>
    <row r="10" spans="1:16" x14ac:dyDescent="0.2">
      <c r="A10" s="150" t="s">
        <v>165</v>
      </c>
      <c r="B10" s="185">
        <v>200000</v>
      </c>
      <c r="C10" s="150">
        <v>24</v>
      </c>
      <c r="D10" s="151">
        <v>1E-4</v>
      </c>
      <c r="E10" s="151">
        <v>0</v>
      </c>
      <c r="F10" s="151">
        <v>2.9899999999999999E-2</v>
      </c>
      <c r="G10" s="150" t="str">
        <f t="shared" si="5"/>
        <v>max. 200000 грн.</v>
      </c>
      <c r="H10" s="183">
        <f t="shared" si="8"/>
        <v>200000</v>
      </c>
      <c r="I10" s="150">
        <v>0</v>
      </c>
      <c r="J10" s="150"/>
      <c r="K10" s="182">
        <v>0</v>
      </c>
      <c r="L10" s="152">
        <f t="shared" si="6"/>
        <v>14314.201416574191</v>
      </c>
      <c r="M10" s="153">
        <f t="shared" si="7"/>
        <v>2.9899999999999999E-2</v>
      </c>
      <c r="N10" s="153"/>
      <c r="O10" s="154">
        <v>0</v>
      </c>
      <c r="P10" s="150">
        <v>1000</v>
      </c>
    </row>
    <row r="11" spans="1:16" x14ac:dyDescent="0.2">
      <c r="A11" s="150" t="s">
        <v>166</v>
      </c>
      <c r="B11" s="185">
        <v>91743.12</v>
      </c>
      <c r="C11" s="150">
        <v>18</v>
      </c>
      <c r="D11" s="151">
        <v>1E-4</v>
      </c>
      <c r="E11" s="151">
        <v>0</v>
      </c>
      <c r="F11" s="151">
        <v>3.7999999999999999E-2</v>
      </c>
      <c r="G11" s="150" t="str">
        <f t="shared" si="5"/>
        <v>max. 91743,12 грн.</v>
      </c>
      <c r="H11" s="183">
        <f t="shared" si="8"/>
        <v>100000.00079999999</v>
      </c>
      <c r="I11" s="150">
        <v>6</v>
      </c>
      <c r="J11" s="150"/>
      <c r="K11" s="182">
        <v>0.09</v>
      </c>
      <c r="L11" s="152">
        <f t="shared" si="6"/>
        <v>9355.9954555739696</v>
      </c>
      <c r="M11" s="153">
        <f t="shared" si="7"/>
        <v>3.7999999999999999E-2</v>
      </c>
      <c r="N11" s="153"/>
      <c r="O11" s="154">
        <v>0</v>
      </c>
      <c r="P11" s="150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</vt:lpstr>
      <vt:lpstr>Перелік партнерів</vt:lpstr>
      <vt:lpstr>Назви</vt:lpstr>
      <vt:lpstr>Лист2</vt:lpstr>
      <vt:lpstr>Satellite!Область_друку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2024-11-14T07:06:00Z</dcterms:modified>
</cp:coreProperties>
</file>