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OLX\Сайт\"/>
    </mc:Choice>
  </mc:AlternateContent>
  <xr:revisionPtr revIDLastSave="0" documentId="13_ncr:1_{496850FE-25D2-4C32-9F82-F307AF5A8E5F}" xr6:coauthVersionLast="47" xr6:coauthVersionMax="47" xr10:uidLastSave="{00000000-0000-0000-0000-000000000000}"/>
  <workbookProtection workbookAlgorithmName="SHA-512" workbookHashValue="mdJc+0RvTntMn9re9HZaa4Yl+70AQAwqJEnlnyFEPO0fWLVUrxaX67ctqi+5ThfMihau8CzfYWKFjXxwZkB1gQ==" workbookSaltValue="7+Lssh1qLZjXPfeNeuKyfw==" workbookSpinCount="100000" lockStructure="1"/>
  <bookViews>
    <workbookView xWindow="-120" yWindow="-120" windowWidth="29040" windowHeight="15990" tabRatio="863" firstSheet="1" activeTab="1" xr2:uid="{00000000-000D-0000-FFFF-FFFF00000000}"/>
  </bookViews>
  <sheets>
    <sheet name="Головна" sheetId="171" state="hidden" r:id="rId1"/>
    <sheet name="Цільовий OLX" sheetId="188" r:id="rId2"/>
    <sheet name="Цільовий OLX_-20%" sheetId="187" r:id="rId3"/>
    <sheet name="Лист2" sheetId="165" state="hidden" r:id="rId4"/>
    <sheet name="Назви" sheetId="161" state="hidden" r:id="rId5"/>
    <sheet name="Лист3" sheetId="191" state="hidden" r:id="rId6"/>
  </sheets>
  <definedNames>
    <definedName name="_xlnm._FilterDatabase" localSheetId="1" hidden="1">'Цільовий OLX'!$A$27:$H$89</definedName>
    <definedName name="_xlnm._FilterDatabase" localSheetId="2" hidden="1">'Цільовий OLX_-20%'!$A$29:$G$91</definedName>
    <definedName name="_xlnm.Print_Area" localSheetId="0">Головна!$B$4:$Q$22</definedName>
    <definedName name="_xlnm.Print_Area" localSheetId="1">'Цільовий OLX'!$A$1:$I$92</definedName>
    <definedName name="_xlnm.Print_Area" localSheetId="2">'Цільовий OLX_-20%'!$A$1:$J$94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8" l="1"/>
  <c r="C30" i="187"/>
  <c r="H3" i="188"/>
  <c r="H3" i="187"/>
  <c r="K19" i="187"/>
  <c r="K20" i="187"/>
  <c r="K21" i="187"/>
  <c r="K17" i="188"/>
  <c r="K18" i="188"/>
  <c r="K19" i="188"/>
  <c r="E2" i="187" l="1"/>
  <c r="E2" i="188"/>
  <c r="E5" i="165"/>
  <c r="E6" i="165"/>
  <c r="E7" i="165"/>
  <c r="E4" i="165"/>
  <c r="F9" i="188"/>
  <c r="K18" i="187" l="1"/>
  <c r="K16" i="188"/>
  <c r="F15" i="188" l="1"/>
  <c r="F11" i="188"/>
  <c r="F13" i="188"/>
  <c r="F2" i="188"/>
  <c r="F15" i="187"/>
  <c r="F13" i="187"/>
  <c r="F11" i="187"/>
  <c r="B11" i="187"/>
  <c r="E11" i="187"/>
  <c r="D11" i="187"/>
  <c r="C11" i="187"/>
  <c r="C29" i="188" l="1"/>
  <c r="C30" i="188" s="1"/>
  <c r="C31" i="188" s="1"/>
  <c r="C32" i="188" s="1"/>
  <c r="C33" i="188" s="1"/>
  <c r="C34" i="188" s="1"/>
  <c r="C35" i="188" s="1"/>
  <c r="C36" i="188" s="1"/>
  <c r="C37" i="188" s="1"/>
  <c r="C38" i="188" s="1"/>
  <c r="C39" i="188" s="1"/>
  <c r="C40" i="188" s="1"/>
  <c r="C41" i="188" s="1"/>
  <c r="C42" i="188" s="1"/>
  <c r="C43" i="188" s="1"/>
  <c r="C44" i="188" s="1"/>
  <c r="C45" i="188" s="1"/>
  <c r="C46" i="188" s="1"/>
  <c r="C47" i="188" s="1"/>
  <c r="C48" i="188" s="1"/>
  <c r="C49" i="188" s="1"/>
  <c r="C50" i="188" s="1"/>
  <c r="C51" i="188" s="1"/>
  <c r="C52" i="188" s="1"/>
  <c r="C53" i="188" s="1"/>
  <c r="C54" i="188" s="1"/>
  <c r="C55" i="188" s="1"/>
  <c r="C56" i="188" s="1"/>
  <c r="C57" i="188" s="1"/>
  <c r="C58" i="188" s="1"/>
  <c r="C59" i="188" s="1"/>
  <c r="C60" i="188" s="1"/>
  <c r="C61" i="188" s="1"/>
  <c r="C62" i="188" s="1"/>
  <c r="C63" i="188" s="1"/>
  <c r="C64" i="188" s="1"/>
  <c r="C65" i="188" s="1"/>
  <c r="C66" i="188" s="1"/>
  <c r="C67" i="188" s="1"/>
  <c r="C68" i="188" s="1"/>
  <c r="C69" i="188" s="1"/>
  <c r="C70" i="188" s="1"/>
  <c r="C71" i="188" s="1"/>
  <c r="C72" i="188" s="1"/>
  <c r="C73" i="188" s="1"/>
  <c r="C74" i="188" s="1"/>
  <c r="C75" i="188" s="1"/>
  <c r="C76" i="188" s="1"/>
  <c r="C77" i="188" s="1"/>
  <c r="C78" i="188" s="1"/>
  <c r="C79" i="188" s="1"/>
  <c r="C80" i="188" s="1"/>
  <c r="C81" i="188" s="1"/>
  <c r="C82" i="188" s="1"/>
  <c r="C83" i="188" s="1"/>
  <c r="C84" i="188" s="1"/>
  <c r="C85" i="188" s="1"/>
  <c r="C86" i="188" s="1"/>
  <c r="C87" i="188" s="1"/>
  <c r="C88" i="188" s="1"/>
  <c r="G27" i="188"/>
  <c r="F27" i="188"/>
  <c r="E27" i="188"/>
  <c r="D27" i="188"/>
  <c r="C27" i="188"/>
  <c r="B26" i="188"/>
  <c r="B24" i="188"/>
  <c r="E22" i="188"/>
  <c r="D22" i="188"/>
  <c r="C22" i="188"/>
  <c r="B22" i="188"/>
  <c r="E20" i="188"/>
  <c r="D20" i="188"/>
  <c r="C20" i="188"/>
  <c r="B20" i="188"/>
  <c r="E18" i="188"/>
  <c r="D18" i="188"/>
  <c r="C18" i="188"/>
  <c r="B18" i="188"/>
  <c r="E16" i="188"/>
  <c r="E15" i="188"/>
  <c r="D15" i="188"/>
  <c r="C15" i="188"/>
  <c r="B15" i="188"/>
  <c r="E13" i="188"/>
  <c r="D13" i="188"/>
  <c r="C13" i="188"/>
  <c r="B13" i="188"/>
  <c r="E11" i="188"/>
  <c r="D11" i="188"/>
  <c r="C11" i="188"/>
  <c r="B11" i="188"/>
  <c r="E9" i="188"/>
  <c r="D9" i="188"/>
  <c r="C9" i="188"/>
  <c r="B9" i="188"/>
  <c r="G3" i="188"/>
  <c r="G2" i="188"/>
  <c r="J46" i="187"/>
  <c r="J45" i="187"/>
  <c r="J44" i="187"/>
  <c r="J43" i="187"/>
  <c r="J42" i="187"/>
  <c r="J41" i="187"/>
  <c r="J40" i="187"/>
  <c r="J39" i="187"/>
  <c r="J38" i="187"/>
  <c r="J37" i="187"/>
  <c r="J36" i="187"/>
  <c r="J35" i="187"/>
  <c r="J34" i="187"/>
  <c r="J33" i="187"/>
  <c r="J32" i="187"/>
  <c r="J31" i="187"/>
  <c r="J30" i="187"/>
  <c r="J29" i="187"/>
  <c r="F29" i="187"/>
  <c r="E29" i="187"/>
  <c r="D29" i="187"/>
  <c r="C29" i="187"/>
  <c r="B28" i="187"/>
  <c r="B26" i="187"/>
  <c r="E24" i="187"/>
  <c r="D24" i="187"/>
  <c r="C24" i="187"/>
  <c r="B24" i="187"/>
  <c r="E22" i="187"/>
  <c r="D22" i="187"/>
  <c r="C22" i="187"/>
  <c r="B22" i="187"/>
  <c r="E20" i="187"/>
  <c r="D20" i="187"/>
  <c r="C20" i="187"/>
  <c r="B20" i="187"/>
  <c r="F17" i="187"/>
  <c r="E17" i="187"/>
  <c r="D17" i="187"/>
  <c r="C17" i="187"/>
  <c r="B17" i="187"/>
  <c r="E15" i="187"/>
  <c r="D15" i="187"/>
  <c r="C15" i="187"/>
  <c r="B15" i="187"/>
  <c r="E13" i="187"/>
  <c r="D13" i="187"/>
  <c r="C13" i="187"/>
  <c r="B13" i="187"/>
  <c r="F9" i="187"/>
  <c r="E9" i="187"/>
  <c r="D9" i="187"/>
  <c r="C9" i="187"/>
  <c r="B9" i="187"/>
  <c r="G3" i="187"/>
  <c r="G2" i="187"/>
  <c r="F2" i="187"/>
  <c r="E18" i="187" l="1"/>
  <c r="C31" i="187"/>
  <c r="C32" i="187" s="1"/>
  <c r="C33" i="187" s="1"/>
  <c r="C34" i="187" s="1"/>
  <c r="C35" i="187" s="1"/>
  <c r="C36" i="187" s="1"/>
  <c r="C37" i="187" s="1"/>
  <c r="C38" i="187" s="1"/>
  <c r="C39" i="187" s="1"/>
  <c r="C40" i="187" s="1"/>
  <c r="C41" i="187" s="1"/>
  <c r="C42" i="187" s="1"/>
  <c r="C43" i="187" s="1"/>
  <c r="C44" i="187" s="1"/>
  <c r="C45" i="187" s="1"/>
  <c r="C46" i="187" s="1"/>
  <c r="C47" i="187" s="1"/>
  <c r="C48" i="187" s="1"/>
  <c r="C49" i="187" s="1"/>
  <c r="C50" i="187" s="1"/>
  <c r="C51" i="187" s="1"/>
  <c r="C52" i="187" s="1"/>
  <c r="C53" i="187" s="1"/>
  <c r="C54" i="187" s="1"/>
  <c r="C55" i="187" s="1"/>
  <c r="C56" i="187" s="1"/>
  <c r="C57" i="187" s="1"/>
  <c r="C58" i="187" s="1"/>
  <c r="C59" i="187" s="1"/>
  <c r="C60" i="187" s="1"/>
  <c r="C61" i="187" s="1"/>
  <c r="C62" i="187" s="1"/>
  <c r="C63" i="187" s="1"/>
  <c r="C64" i="187" s="1"/>
  <c r="C65" i="187" s="1"/>
  <c r="C66" i="187" s="1"/>
  <c r="C67" i="187" s="1"/>
  <c r="C68" i="187" s="1"/>
  <c r="C69" i="187" s="1"/>
  <c r="C70" i="187" s="1"/>
  <c r="C71" i="187" s="1"/>
  <c r="C72" i="187" s="1"/>
  <c r="C73" i="187" s="1"/>
  <c r="C74" i="187" s="1"/>
  <c r="C75" i="187" s="1"/>
  <c r="C76" i="187" s="1"/>
  <c r="C77" i="187" s="1"/>
  <c r="C78" i="187" s="1"/>
  <c r="C79" i="187" s="1"/>
  <c r="C80" i="187" s="1"/>
  <c r="C81" i="187" s="1"/>
  <c r="C82" i="187" s="1"/>
  <c r="C83" i="187" s="1"/>
  <c r="C84" i="187" s="1"/>
  <c r="C85" i="187" s="1"/>
  <c r="C86" i="187" s="1"/>
  <c r="C87" i="187" s="1"/>
  <c r="C88" i="187" s="1"/>
  <c r="C89" i="187" s="1"/>
  <c r="C90" i="187" s="1"/>
  <c r="E3" i="188"/>
  <c r="F3" i="188" s="1"/>
  <c r="E3" i="187"/>
  <c r="E19" i="187" l="1"/>
  <c r="E17" i="188"/>
  <c r="G28" i="188"/>
  <c r="F3" i="187"/>
  <c r="F30" i="187"/>
  <c r="F20" i="187" l="1"/>
  <c r="D31" i="187"/>
  <c r="F7" i="187"/>
  <c r="D31" i="188"/>
  <c r="D35" i="188"/>
  <c r="D39" i="188"/>
  <c r="D43" i="188"/>
  <c r="D47" i="188"/>
  <c r="D51" i="188"/>
  <c r="D55" i="188"/>
  <c r="D59" i="188"/>
  <c r="D63" i="188"/>
  <c r="D67" i="188"/>
  <c r="D71" i="188"/>
  <c r="D75" i="188"/>
  <c r="D79" i="188"/>
  <c r="D83" i="188"/>
  <c r="D87" i="188"/>
  <c r="D41" i="188"/>
  <c r="D49" i="188"/>
  <c r="D53" i="188"/>
  <c r="D61" i="188"/>
  <c r="D69" i="188"/>
  <c r="D77" i="188"/>
  <c r="D85" i="188"/>
  <c r="D34" i="188"/>
  <c r="D42" i="188"/>
  <c r="D50" i="188"/>
  <c r="D58" i="188"/>
  <c r="D66" i="188"/>
  <c r="D74" i="188"/>
  <c r="D82" i="188"/>
  <c r="D32" i="188"/>
  <c r="D36" i="188"/>
  <c r="D40" i="188"/>
  <c r="D44" i="188"/>
  <c r="D48" i="188"/>
  <c r="D52" i="188"/>
  <c r="D56" i="188"/>
  <c r="D60" i="188"/>
  <c r="D64" i="188"/>
  <c r="D68" i="188"/>
  <c r="D72" i="188"/>
  <c r="D76" i="188"/>
  <c r="D80" i="188"/>
  <c r="D84" i="188"/>
  <c r="D88" i="188"/>
  <c r="D33" i="188"/>
  <c r="D37" i="188"/>
  <c r="D45" i="188"/>
  <c r="D57" i="188"/>
  <c r="D65" i="188"/>
  <c r="D73" i="188"/>
  <c r="D81" i="188"/>
  <c r="D29" i="188"/>
  <c r="D30" i="188"/>
  <c r="D38" i="188"/>
  <c r="D46" i="188"/>
  <c r="D54" i="188"/>
  <c r="D62" i="188"/>
  <c r="D70" i="188"/>
  <c r="D78" i="188"/>
  <c r="D86" i="188"/>
  <c r="F18" i="188"/>
  <c r="F8" i="187" l="1"/>
  <c r="E82" i="187" s="1"/>
  <c r="E89" i="188"/>
  <c r="D70" i="187" l="1"/>
  <c r="E47" i="187"/>
  <c r="D66" i="187"/>
  <c r="D34" i="187"/>
  <c r="D85" i="187"/>
  <c r="D63" i="187"/>
  <c r="E57" i="187"/>
  <c r="E72" i="187"/>
  <c r="E70" i="187"/>
  <c r="D45" i="187"/>
  <c r="D52" i="187"/>
  <c r="E34" i="187"/>
  <c r="E84" i="187"/>
  <c r="E71" i="187"/>
  <c r="D38" i="187"/>
  <c r="E88" i="187"/>
  <c r="D79" i="187"/>
  <c r="D43" i="187"/>
  <c r="E66" i="187"/>
  <c r="D89" i="187"/>
  <c r="E76" i="187"/>
  <c r="E83" i="187"/>
  <c r="D82" i="187"/>
  <c r="E44" i="187"/>
  <c r="D37" i="187"/>
  <c r="D32" i="187"/>
  <c r="D55" i="187"/>
  <c r="E78" i="187"/>
  <c r="E42" i="187"/>
  <c r="D84" i="187"/>
  <c r="E46" i="187"/>
  <c r="D49" i="187"/>
  <c r="E40" i="187"/>
  <c r="E75" i="187"/>
  <c r="D78" i="187"/>
  <c r="D42" i="187"/>
  <c r="E49" i="187"/>
  <c r="D61" i="187"/>
  <c r="D72" i="187"/>
  <c r="D76" i="187"/>
  <c r="D73" i="187"/>
  <c r="E60" i="187"/>
  <c r="D44" i="187"/>
  <c r="D90" i="187"/>
  <c r="D65" i="187"/>
  <c r="E39" i="187"/>
  <c r="D58" i="187"/>
  <c r="E81" i="187"/>
  <c r="E45" i="187"/>
  <c r="D53" i="187"/>
  <c r="D60" i="187"/>
  <c r="E55" i="187"/>
  <c r="D67" i="187"/>
  <c r="E68" i="187"/>
  <c r="E86" i="187"/>
  <c r="E65" i="187"/>
  <c r="E50" i="187"/>
  <c r="D77" i="187"/>
  <c r="D57" i="187"/>
  <c r="E80" i="187"/>
  <c r="E48" i="187"/>
  <c r="E54" i="187"/>
  <c r="D87" i="187"/>
  <c r="E61" i="187"/>
  <c r="E56" i="187"/>
  <c r="D68" i="187"/>
  <c r="E32" i="187"/>
  <c r="E63" i="187"/>
  <c r="D86" i="187"/>
  <c r="D71" i="187"/>
  <c r="D50" i="187"/>
  <c r="D35" i="187"/>
  <c r="E73" i="187"/>
  <c r="E58" i="187"/>
  <c r="E37" i="187"/>
  <c r="D41" i="187"/>
  <c r="E64" i="187"/>
  <c r="D88" i="187"/>
  <c r="D48" i="187"/>
  <c r="E67" i="187"/>
  <c r="E35" i="187"/>
  <c r="D74" i="187"/>
  <c r="E79" i="187"/>
  <c r="D46" i="187"/>
  <c r="E90" i="187"/>
  <c r="E69" i="187"/>
  <c r="D59" i="187"/>
  <c r="E36" i="187"/>
  <c r="D64" i="187"/>
  <c r="E87" i="187"/>
  <c r="E43" i="187"/>
  <c r="D83" i="187"/>
  <c r="D62" i="187"/>
  <c r="D47" i="187"/>
  <c r="E85" i="187"/>
  <c r="E33" i="187"/>
  <c r="D56" i="187"/>
  <c r="D51" i="187"/>
  <c r="E89" i="187"/>
  <c r="E74" i="187"/>
  <c r="E53" i="187"/>
  <c r="E38" i="187"/>
  <c r="D69" i="187"/>
  <c r="D33" i="187"/>
  <c r="E52" i="187"/>
  <c r="D80" i="187"/>
  <c r="D40" i="187"/>
  <c r="E59" i="187"/>
  <c r="D75" i="187"/>
  <c r="D54" i="187"/>
  <c r="D39" i="187"/>
  <c r="E77" i="187"/>
  <c r="E62" i="187"/>
  <c r="E41" i="187"/>
  <c r="D81" i="187"/>
  <c r="D36" i="187"/>
  <c r="E51" i="187"/>
  <c r="D89" i="188" l="1"/>
  <c r="F7" i="188" s="1"/>
  <c r="F30" i="188" l="1"/>
  <c r="G30" i="188" s="1"/>
  <c r="F31" i="188"/>
  <c r="G31" i="188" s="1"/>
  <c r="F35" i="188"/>
  <c r="G35" i="188" s="1"/>
  <c r="F39" i="188"/>
  <c r="G39" i="188" s="1"/>
  <c r="F43" i="188"/>
  <c r="G43" i="188" s="1"/>
  <c r="F47" i="188"/>
  <c r="G47" i="188" s="1"/>
  <c r="F51" i="188"/>
  <c r="G51" i="188" s="1"/>
  <c r="F55" i="188"/>
  <c r="G55" i="188" s="1"/>
  <c r="F59" i="188"/>
  <c r="G59" i="188" s="1"/>
  <c r="F63" i="188"/>
  <c r="G63" i="188" s="1"/>
  <c r="F67" i="188"/>
  <c r="G67" i="188" s="1"/>
  <c r="F71" i="188"/>
  <c r="G71" i="188" s="1"/>
  <c r="F75" i="188"/>
  <c r="G75" i="188" s="1"/>
  <c r="F79" i="188"/>
  <c r="G79" i="188" s="1"/>
  <c r="F83" i="188"/>
  <c r="G83" i="188" s="1"/>
  <c r="F87" i="188"/>
  <c r="G87" i="188" s="1"/>
  <c r="F37" i="188"/>
  <c r="G37" i="188" s="1"/>
  <c r="F41" i="188"/>
  <c r="G41" i="188" s="1"/>
  <c r="F49" i="188"/>
  <c r="G49" i="188" s="1"/>
  <c r="F57" i="188"/>
  <c r="G57" i="188" s="1"/>
  <c r="F65" i="188"/>
  <c r="G65" i="188" s="1"/>
  <c r="F73" i="188"/>
  <c r="G73" i="188" s="1"/>
  <c r="F81" i="188"/>
  <c r="G81" i="188" s="1"/>
  <c r="F29" i="188"/>
  <c r="F34" i="188"/>
  <c r="G34" i="188" s="1"/>
  <c r="F42" i="188"/>
  <c r="G42" i="188" s="1"/>
  <c r="F46" i="188"/>
  <c r="G46" i="188" s="1"/>
  <c r="F54" i="188"/>
  <c r="G54" i="188" s="1"/>
  <c r="F62" i="188"/>
  <c r="G62" i="188" s="1"/>
  <c r="F70" i="188"/>
  <c r="G70" i="188" s="1"/>
  <c r="F78" i="188"/>
  <c r="G78" i="188" s="1"/>
  <c r="F86" i="188"/>
  <c r="G86" i="188" s="1"/>
  <c r="F32" i="188"/>
  <c r="G32" i="188" s="1"/>
  <c r="F36" i="188"/>
  <c r="G36" i="188" s="1"/>
  <c r="F40" i="188"/>
  <c r="G40" i="188" s="1"/>
  <c r="F44" i="188"/>
  <c r="G44" i="188" s="1"/>
  <c r="F48" i="188"/>
  <c r="G48" i="188" s="1"/>
  <c r="F52" i="188"/>
  <c r="G52" i="188" s="1"/>
  <c r="F56" i="188"/>
  <c r="G56" i="188" s="1"/>
  <c r="F60" i="188"/>
  <c r="G60" i="188" s="1"/>
  <c r="F64" i="188"/>
  <c r="G64" i="188" s="1"/>
  <c r="F68" i="188"/>
  <c r="G68" i="188" s="1"/>
  <c r="F72" i="188"/>
  <c r="G72" i="188" s="1"/>
  <c r="F76" i="188"/>
  <c r="G76" i="188" s="1"/>
  <c r="F80" i="188"/>
  <c r="G80" i="188" s="1"/>
  <c r="F84" i="188"/>
  <c r="G84" i="188" s="1"/>
  <c r="F88" i="188"/>
  <c r="G88" i="188" s="1"/>
  <c r="F33" i="188"/>
  <c r="G33" i="188" s="1"/>
  <c r="F45" i="188"/>
  <c r="G45" i="188" s="1"/>
  <c r="F53" i="188"/>
  <c r="G53" i="188" s="1"/>
  <c r="F61" i="188"/>
  <c r="G61" i="188" s="1"/>
  <c r="F69" i="188"/>
  <c r="G69" i="188" s="1"/>
  <c r="F77" i="188"/>
  <c r="G77" i="188" s="1"/>
  <c r="F85" i="188"/>
  <c r="G85" i="188" s="1"/>
  <c r="F38" i="188"/>
  <c r="G38" i="188" s="1"/>
  <c r="F50" i="188"/>
  <c r="G50" i="188" s="1"/>
  <c r="F58" i="188"/>
  <c r="G58" i="188" s="1"/>
  <c r="F66" i="188"/>
  <c r="G66" i="188" s="1"/>
  <c r="F74" i="188"/>
  <c r="G74" i="188" s="1"/>
  <c r="F82" i="188"/>
  <c r="G82" i="188" s="1"/>
  <c r="G29" i="188" l="1"/>
  <c r="G89" i="188" s="1"/>
  <c r="F20" i="188" s="1"/>
  <c r="F22" i="188" s="1"/>
  <c r="F89" i="188"/>
  <c r="F24" i="188" l="1"/>
  <c r="E7" i="171" l="1"/>
  <c r="E8" i="171"/>
  <c r="E21" i="171" l="1"/>
  <c r="E19" i="171"/>
  <c r="Q7" i="171" l="1"/>
  <c r="P8" i="171" l="1"/>
  <c r="O8" i="171"/>
  <c r="N8" i="171"/>
  <c r="M8" i="171"/>
  <c r="L8" i="171"/>
  <c r="K8" i="171"/>
  <c r="D8" i="171" l="1"/>
  <c r="F8" i="171"/>
  <c r="I8" i="171"/>
  <c r="H8" i="171"/>
  <c r="G8" i="171"/>
  <c r="J8" i="171"/>
  <c r="F10" i="171" l="1"/>
  <c r="F9" i="171"/>
  <c r="F7" i="171"/>
  <c r="E9" i="171" l="1"/>
  <c r="D9" i="171"/>
  <c r="B9" i="171" l="1"/>
  <c r="P9" i="171" l="1"/>
  <c r="O9" i="171"/>
  <c r="N9" i="171"/>
  <c r="M9" i="171"/>
  <c r="L9" i="171"/>
  <c r="K9" i="171"/>
  <c r="P10" i="171"/>
  <c r="O10" i="171"/>
  <c r="N10" i="171"/>
  <c r="M10" i="171"/>
  <c r="L10" i="171"/>
  <c r="P7" i="171"/>
  <c r="O7" i="171"/>
  <c r="N7" i="171"/>
  <c r="M7" i="171"/>
  <c r="L7" i="171"/>
  <c r="K7" i="171"/>
  <c r="E10" i="171"/>
  <c r="D10" i="171"/>
  <c r="B10" i="171" l="1"/>
  <c r="D7" i="171"/>
  <c r="J9" i="171" l="1"/>
  <c r="I9" i="171"/>
  <c r="H9" i="171"/>
  <c r="G9" i="171"/>
  <c r="J7" i="171"/>
  <c r="H7" i="171"/>
  <c r="I7" i="171"/>
  <c r="K10" i="171"/>
  <c r="G10" i="171"/>
  <c r="I10" i="171"/>
  <c r="J10" i="171"/>
  <c r="H10" i="171"/>
  <c r="G7" i="171" l="1"/>
  <c r="C23" i="161" l="1"/>
  <c r="H23" i="161" s="1"/>
  <c r="D23" i="161"/>
  <c r="F23" i="161" s="1"/>
  <c r="E23" i="161"/>
  <c r="C24" i="161"/>
  <c r="H24" i="161" s="1"/>
  <c r="D24" i="161"/>
  <c r="F24" i="161" s="1"/>
  <c r="E24" i="161"/>
  <c r="C25" i="161"/>
  <c r="H25" i="161" s="1"/>
  <c r="D25" i="161"/>
  <c r="F25" i="161" s="1"/>
  <c r="E25" i="161"/>
  <c r="C26" i="161"/>
  <c r="H26" i="161" s="1"/>
  <c r="D26" i="161"/>
  <c r="G26" i="161" s="1"/>
  <c r="E26" i="161"/>
  <c r="F26" i="161" l="1"/>
  <c r="G25" i="161"/>
  <c r="G24" i="161"/>
  <c r="G23" i="161"/>
  <c r="E31" i="187" l="1"/>
  <c r="F86" i="187"/>
  <c r="F82" i="187"/>
  <c r="F78" i="187"/>
  <c r="F74" i="187"/>
  <c r="F70" i="187"/>
  <c r="F89" i="187"/>
  <c r="F85" i="187"/>
  <c r="F81" i="187"/>
  <c r="F77" i="187"/>
  <c r="F73" i="187"/>
  <c r="F69" i="187"/>
  <c r="F33" i="187"/>
  <c r="F88" i="187"/>
  <c r="F84" i="187"/>
  <c r="F80" i="187"/>
  <c r="F76" i="187"/>
  <c r="F72" i="187"/>
  <c r="F68" i="187"/>
  <c r="F87" i="187"/>
  <c r="F83" i="187"/>
  <c r="F79" i="187"/>
  <c r="F75" i="187"/>
  <c r="F71" i="187"/>
  <c r="F67" i="187"/>
  <c r="F90" i="187"/>
  <c r="F31" i="187" l="1"/>
  <c r="F32" i="187"/>
  <c r="F55" i="187" l="1"/>
  <c r="F59" i="187"/>
  <c r="F46" i="187"/>
  <c r="F52" i="187"/>
  <c r="F41" i="187"/>
  <c r="F37" i="187"/>
  <c r="F62" i="187"/>
  <c r="F47" i="187"/>
  <c r="F49" i="187"/>
  <c r="F61" i="187"/>
  <c r="F53" i="187"/>
  <c r="F58" i="187" l="1"/>
  <c r="F35" i="187"/>
  <c r="F43" i="187"/>
  <c r="F38" i="187"/>
  <c r="F45" i="187"/>
  <c r="F66" i="187"/>
  <c r="F63" i="187"/>
  <c r="F64" i="187"/>
  <c r="F44" i="187"/>
  <c r="F60" i="187"/>
  <c r="E91" i="187"/>
  <c r="F56" i="187"/>
  <c r="F54" i="187"/>
  <c r="F40" i="187"/>
  <c r="F48" i="187"/>
  <c r="F36" i="187"/>
  <c r="F39" i="187"/>
  <c r="F42" i="187"/>
  <c r="F34" i="187"/>
  <c r="D91" i="187"/>
  <c r="F50" i="187"/>
  <c r="F51" i="187"/>
  <c r="F65" i="187"/>
  <c r="F57" i="187"/>
  <c r="F91" i="187" l="1"/>
  <c r="F22" i="187" s="1"/>
  <c r="F24" i="187" s="1"/>
  <c r="F26" i="187"/>
</calcChain>
</file>

<file path=xl/sharedStrings.xml><?xml version="1.0" encoding="utf-8"?>
<sst xmlns="http://schemas.openxmlformats.org/spreadsheetml/2006/main" count="126" uniqueCount="83">
  <si>
    <t>12 міс.</t>
  </si>
  <si>
    <t>18 міс.</t>
  </si>
  <si>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</si>
  <si>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</si>
  <si>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</si>
  <si>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</si>
  <si>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</si>
  <si>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</si>
  <si>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</si>
  <si>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</si>
  <si>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</si>
  <si>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</si>
  <si>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</si>
  <si>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</si>
  <si>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</si>
  <si>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</si>
  <si>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</si>
  <si>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</si>
  <si>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</si>
  <si>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</si>
  <si>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</si>
  <si>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</si>
  <si>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</si>
  <si>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</si>
  <si>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</si>
  <si>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</si>
  <si>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</si>
  <si>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</si>
  <si>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</si>
  <si>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</si>
  <si>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</si>
  <si>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36 міс.</t>
  </si>
  <si>
    <t>Термін</t>
  </si>
  <si>
    <t>Продукт</t>
  </si>
  <si>
    <t>48 міс.</t>
  </si>
  <si>
    <t>60 міс.</t>
  </si>
  <si>
    <t>Дохід клієнта</t>
  </si>
  <si>
    <t>30 міс.</t>
  </si>
  <si>
    <t>24 міс.</t>
  </si>
  <si>
    <t>6 міс.</t>
  </si>
  <si>
    <t>Максимальна сума на руки</t>
  </si>
  <si>
    <t>Масимальна сума на руки по кредиту</t>
  </si>
  <si>
    <t>5 міс.</t>
  </si>
  <si>
    <t>4 міс.</t>
  </si>
  <si>
    <t>3 міс.</t>
  </si>
  <si>
    <t>2 міс.</t>
  </si>
  <si>
    <t>1 міс.</t>
  </si>
  <si>
    <t>Для Вас Х</t>
  </si>
  <si>
    <t>Основний дохід</t>
  </si>
  <si>
    <t>Додатковий дохід:</t>
  </si>
  <si>
    <t>Дохід від депозиту</t>
  </si>
  <si>
    <t>Дохід від надання нерухомості в оренду</t>
  </si>
  <si>
    <t>Аліменти</t>
  </si>
  <si>
    <t>Дохід від підприємницької діяльності</t>
  </si>
  <si>
    <t>Дохід від неофіційної діяльності</t>
  </si>
  <si>
    <t>Бюджетний Х_ПУМБ</t>
  </si>
  <si>
    <t>Пенсійний Х_ПУМБ</t>
  </si>
  <si>
    <t>Разовий страховий тариф, %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</si>
  <si>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</si>
  <si>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</si>
  <si>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</si>
  <si>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</si>
  <si>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</si>
  <si>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</si>
  <si>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</si>
  <si>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</si>
  <si>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</si>
  <si>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</si>
  <si>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  <r>
      <rPr>
        <b/>
        <i/>
        <sz val="11"/>
        <rFont val="Arial Cyr"/>
        <family val="2"/>
        <charset val="204"/>
      </rPr>
      <t>(без врахування страхівки)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</si>
  <si>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</si>
  <si>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</si>
  <si>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</si>
  <si>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Процентна ставка базова, % річних</t>
  </si>
  <si>
    <t>Процентна ставка знижена, % річних</t>
  </si>
  <si>
    <t xml:space="preserve">% ставка знижена </t>
  </si>
  <si>
    <t>Реальна річна процентна ставка, %</t>
  </si>
  <si>
    <t xml:space="preserve">Цільовий, 60 міс. </t>
  </si>
  <si>
    <t xml:space="preserve">Цільовий, 36 міс. </t>
  </si>
  <si>
    <t xml:space="preserve">Цільовий, 24 міс. </t>
  </si>
  <si>
    <t xml:space="preserve">Цільовий, 12 міс. </t>
  </si>
  <si>
    <t>max. 300000 грн.</t>
  </si>
  <si>
    <t>max. 500000 грн.</t>
  </si>
  <si>
    <t>max. 250000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</si>
</sst>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  <numFmt numFmtId="178" formatCode="_-* #,##0\ _ _-;\-* #,##0\ _ _-;_-* &quot;-&quot;??\ _ _-;_-@_-"/>
  </numFmts>
  <fonts count="4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rgb="FFFF0000"/>
      </patternFill>
    </fill>
    <fill>
      <patternFill patternType="solid">
        <fgColor theme="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0" fontId="9" fillId="3" borderId="0" xfId="23" applyFont="1" applyFill="1"/>
    <xf numFmtId="0" fontId="5" fillId="3" borderId="0" xfId="23" applyFill="1"/>
    <xf numFmtId="0" fontId="0" fillId="3" borderId="0" xfId="0" applyFill="1"/>
    <xf numFmtId="0" fontId="5" fillId="0" borderId="0" xfId="23"/>
    <xf numFmtId="0" fontId="8" fillId="3" borderId="0" xfId="0" applyFont="1" applyFill="1"/>
    <xf numFmtId="1" fontId="5" fillId="3" borderId="0" xfId="23" applyNumberFormat="1" applyFill="1" applyAlignment="1">
      <alignment vertical="top" wrapText="1"/>
    </xf>
    <xf numFmtId="10" fontId="4" fillId="0" borderId="1" xfId="23" applyNumberFormat="1" applyFont="1" applyBorder="1" applyAlignment="1">
      <alignment horizontal="center"/>
    </xf>
    <xf numFmtId="10" fontId="17" fillId="0" borderId="1" xfId="23" applyNumberFormat="1" applyFont="1" applyBorder="1" applyAlignment="1">
      <alignment horizontal="center"/>
    </xf>
    <xf numFmtId="10" fontId="4" fillId="3" borderId="0" xfId="23" applyNumberFormat="1" applyFont="1" applyFill="1" applyAlignment="1">
      <alignment horizontal="center"/>
    </xf>
    <xf numFmtId="0" fontId="11" fillId="3" borderId="0" xfId="0" applyFont="1" applyFill="1"/>
    <xf numFmtId="0" fontId="18" fillId="3" borderId="0" xfId="23" applyFont="1" applyFill="1" applyAlignment="1">
      <alignment horizontal="center"/>
    </xf>
    <xf numFmtId="0" fontId="9" fillId="0" borderId="0" xfId="23" applyFont="1"/>
    <xf numFmtId="169" fontId="4" fillId="0" borderId="1" xfId="23" applyNumberFormat="1" applyFont="1" applyBorder="1" applyAlignment="1">
      <alignment horizontal="center"/>
    </xf>
    <xf numFmtId="169" fontId="17" fillId="0" borderId="1" xfId="23" applyNumberFormat="1" applyFont="1" applyBorder="1" applyAlignment="1">
      <alignment horizontal="center"/>
    </xf>
    <xf numFmtId="0" fontId="8" fillId="3" borderId="0" xfId="0" applyFont="1" applyFill="1" applyAlignment="1">
      <alignment horizontal="left"/>
    </xf>
    <xf numFmtId="169" fontId="4" fillId="3" borderId="0" xfId="23" applyNumberFormat="1" applyFont="1" applyFill="1" applyAlignment="1">
      <alignment horizontal="center"/>
    </xf>
    <xf numFmtId="0" fontId="20" fillId="3" borderId="0" xfId="23" applyFont="1" applyFill="1"/>
    <xf numFmtId="0" fontId="19" fillId="3" borderId="0" xfId="23" applyFont="1" applyFill="1" applyAlignment="1">
      <alignment horizontal="center"/>
    </xf>
    <xf numFmtId="0" fontId="8" fillId="3" borderId="2" xfId="0" applyFont="1" applyFill="1" applyBorder="1" applyAlignment="1">
      <alignment horizontal="left"/>
    </xf>
    <xf numFmtId="169" fontId="4" fillId="3" borderId="2" xfId="23" applyNumberFormat="1" applyFont="1" applyFill="1" applyBorder="1"/>
    <xf numFmtId="166" fontId="4" fillId="0" borderId="1" xfId="23" applyNumberFormat="1" applyFont="1" applyBorder="1" applyAlignment="1">
      <alignment horizontal="center"/>
    </xf>
    <xf numFmtId="170" fontId="21" fillId="0" borderId="1" xfId="23" applyNumberFormat="1" applyFont="1" applyBorder="1" applyAlignment="1">
      <alignment horizontal="center"/>
    </xf>
    <xf numFmtId="169" fontId="21" fillId="0" borderId="1" xfId="23" applyNumberFormat="1" applyFont="1" applyBorder="1" applyAlignment="1">
      <alignment horizontal="center"/>
    </xf>
    <xf numFmtId="0" fontId="12" fillId="3" borderId="0" xfId="0" applyFont="1" applyFill="1"/>
    <xf numFmtId="165" fontId="13" fillId="3" borderId="0" xfId="23" applyNumberFormat="1" applyFont="1" applyFill="1"/>
    <xf numFmtId="0" fontId="13" fillId="3" borderId="0" xfId="23" applyFont="1" applyFill="1"/>
    <xf numFmtId="0" fontId="7" fillId="3" borderId="0" xfId="23" applyFont="1" applyFill="1" applyAlignment="1">
      <alignment horizontal="right"/>
    </xf>
    <xf numFmtId="10" fontId="7" fillId="3" borderId="0" xfId="23" applyNumberFormat="1" applyFont="1" applyFill="1"/>
    <xf numFmtId="0" fontId="4" fillId="3" borderId="0" xfId="23" applyFont="1" applyFill="1" applyAlignment="1">
      <alignment horizontal="right"/>
    </xf>
    <xf numFmtId="9" fontId="4" fillId="3" borderId="0" xfId="23" applyNumberFormat="1" applyFont="1" applyFill="1" applyAlignment="1">
      <alignment horizontal="left"/>
    </xf>
    <xf numFmtId="9" fontId="5" fillId="3" borderId="0" xfId="23" applyNumberFormat="1" applyFill="1" applyAlignment="1">
      <alignment horizontal="left"/>
    </xf>
    <xf numFmtId="10" fontId="4" fillId="3" borderId="1" xfId="23" applyNumberFormat="1" applyFont="1" applyFill="1" applyBorder="1" applyAlignment="1">
      <alignment horizontal="center"/>
    </xf>
    <xf numFmtId="9" fontId="4" fillId="0" borderId="0" xfId="23" applyNumberFormat="1" applyFont="1" applyAlignment="1">
      <alignment horizontal="left"/>
    </xf>
    <xf numFmtId="9" fontId="5" fillId="0" borderId="0" xfId="23" applyNumberFormat="1" applyAlignment="1">
      <alignment horizontal="left"/>
    </xf>
    <xf numFmtId="0" fontId="17" fillId="3" borderId="0" xfId="23" applyFont="1" applyFill="1" applyAlignment="1">
      <alignment horizontal="center"/>
    </xf>
    <xf numFmtId="0" fontId="4" fillId="3" borderId="0" xfId="23" applyFont="1" applyFill="1"/>
    <xf numFmtId="10" fontId="4" fillId="3" borderId="0" xfId="46" applyNumberFormat="1" applyFont="1" applyFill="1" applyAlignment="1" applyProtection="1">
      <alignment horizontal="center" vertical="top" wrapText="1"/>
    </xf>
    <xf numFmtId="169" fontId="5" fillId="0" borderId="3" xfId="23" applyNumberFormat="1" applyBorder="1" applyAlignment="1">
      <alignment horizontal="center"/>
    </xf>
    <xf numFmtId="169" fontId="5" fillId="0" borderId="4" xfId="23" applyNumberFormat="1" applyBorder="1" applyAlignment="1">
      <alignment horizontal="center"/>
    </xf>
    <xf numFmtId="9" fontId="17" fillId="3" borderId="0" xfId="23" applyNumberFormat="1" applyFont="1" applyFill="1" applyAlignment="1">
      <alignment horizontal="center"/>
    </xf>
    <xf numFmtId="0" fontId="17" fillId="0" borderId="0" xfId="23" applyFont="1" applyAlignment="1">
      <alignment horizontal="center"/>
    </xf>
    <xf numFmtId="0" fontId="24" fillId="3" borderId="0" xfId="0" applyFont="1" applyFill="1"/>
    <xf numFmtId="0" fontId="25" fillId="3" borderId="0" xfId="0" applyFont="1" applyFill="1"/>
    <xf numFmtId="0" fontId="26" fillId="0" borderId="0" xfId="23" applyFont="1"/>
    <xf numFmtId="0" fontId="26" fillId="3" borderId="0" xfId="23" applyFont="1" applyFill="1"/>
    <xf numFmtId="0" fontId="28" fillId="0" borderId="0" xfId="23" applyFont="1"/>
    <xf numFmtId="0" fontId="8" fillId="0" borderId="0" xfId="0" applyFont="1" applyAlignment="1">
      <alignment horizontal="left"/>
    </xf>
    <xf numFmtId="0" fontId="28" fillId="3" borderId="0" xfId="23" applyFont="1" applyFill="1"/>
    <xf numFmtId="0" fontId="9" fillId="4" borderId="0" xfId="23" applyFont="1" applyFill="1"/>
    <xf numFmtId="0" fontId="5" fillId="4" borderId="0" xfId="23" applyFill="1"/>
    <xf numFmtId="0" fontId="4" fillId="4" borderId="0" xfId="23" applyFont="1" applyFill="1"/>
    <xf numFmtId="0" fontId="0" fillId="4" borderId="0" xfId="0" applyFill="1"/>
    <xf numFmtId="173" fontId="4" fillId="3" borderId="1" xfId="47" applyNumberFormat="1" applyFont="1" applyFill="1" applyBorder="1" applyAlignment="1" applyProtection="1">
      <alignment horizontal="center"/>
    </xf>
    <xf numFmtId="0" fontId="21" fillId="0" borderId="0" xfId="23" applyFont="1"/>
    <xf numFmtId="166" fontId="5" fillId="0" borderId="3" xfId="24" applyNumberFormat="1" applyFont="1" applyFill="1" applyBorder="1" applyAlignment="1" applyProtection="1">
      <alignment horizontal="center"/>
    </xf>
    <xf numFmtId="166" fontId="5" fillId="0" borderId="4" xfId="24" applyNumberFormat="1" applyFont="1" applyFill="1" applyBorder="1" applyAlignment="1" applyProtection="1">
      <alignment horizontal="center"/>
    </xf>
    <xf numFmtId="171" fontId="30" fillId="3" borderId="0" xfId="23" applyNumberFormat="1" applyFont="1" applyFill="1" applyAlignment="1">
      <alignment horizontal="center" vertical="center"/>
    </xf>
    <xf numFmtId="171" fontId="4" fillId="0" borderId="1" xfId="23" applyNumberFormat="1" applyFont="1" applyBorder="1" applyAlignment="1">
      <alignment horizontal="center"/>
    </xf>
    <xf numFmtId="171" fontId="17" fillId="0" borderId="1" xfId="23" applyNumberFormat="1" applyFont="1" applyBorder="1" applyAlignment="1">
      <alignment horizontal="center"/>
    </xf>
    <xf numFmtId="1" fontId="16" fillId="0" borderId="7" xfId="23" applyNumberFormat="1" applyFont="1" applyBorder="1" applyAlignment="1" applyProtection="1">
      <alignment horizontal="center" vertical="top" wrapText="1"/>
      <protection locked="0"/>
    </xf>
    <xf numFmtId="1" fontId="4" fillId="0" borderId="7" xfId="23" applyNumberFormat="1" applyFont="1" applyBorder="1" applyAlignment="1">
      <alignment horizontal="center" vertical="center"/>
    </xf>
    <xf numFmtId="0" fontId="8" fillId="0" borderId="0" xfId="0" applyFont="1"/>
    <xf numFmtId="1" fontId="5" fillId="0" borderId="0" xfId="23" applyNumberFormat="1" applyAlignment="1">
      <alignment vertical="top" wrapText="1"/>
    </xf>
    <xf numFmtId="0" fontId="4" fillId="0" borderId="0" xfId="23" applyFont="1"/>
    <xf numFmtId="0" fontId="8" fillId="0" borderId="2" xfId="0" applyFont="1" applyBorder="1" applyAlignment="1">
      <alignment horizontal="left"/>
    </xf>
    <xf numFmtId="10" fontId="4" fillId="0" borderId="0" xfId="23" applyNumberFormat="1" applyFont="1" applyAlignment="1">
      <alignment horizontal="center"/>
    </xf>
    <xf numFmtId="10" fontId="4" fillId="0" borderId="0" xfId="46" applyNumberFormat="1" applyFont="1" applyFill="1" applyAlignment="1" applyProtection="1">
      <alignment horizontal="center" vertical="top" wrapText="1"/>
    </xf>
    <xf numFmtId="173" fontId="4" fillId="0" borderId="1" xfId="47" applyNumberFormat="1" applyFont="1" applyFill="1" applyBorder="1" applyAlignment="1" applyProtection="1">
      <alignment horizontal="center"/>
    </xf>
    <xf numFmtId="0" fontId="11" fillId="0" borderId="0" xfId="0" applyFont="1"/>
    <xf numFmtId="1" fontId="29" fillId="0" borderId="0" xfId="23" applyNumberFormat="1" applyFont="1" applyAlignment="1">
      <alignment vertical="top" wrapText="1"/>
    </xf>
    <xf numFmtId="0" fontId="18" fillId="0" borderId="0" xfId="23" applyFont="1" applyAlignment="1">
      <alignment horizontal="center"/>
    </xf>
    <xf numFmtId="165" fontId="29" fillId="0" borderId="0" xfId="23" applyNumberFormat="1" applyFont="1"/>
    <xf numFmtId="169" fontId="4" fillId="0" borderId="0" xfId="23" applyNumberFormat="1" applyFont="1" applyAlignment="1">
      <alignment horizontal="center"/>
    </xf>
    <xf numFmtId="0" fontId="20" fillId="0" borderId="0" xfId="23" applyFont="1"/>
    <xf numFmtId="0" fontId="19" fillId="0" borderId="0" xfId="23" applyFont="1" applyAlignment="1">
      <alignment horizontal="center"/>
    </xf>
    <xf numFmtId="169" fontId="4" fillId="0" borderId="2" xfId="23" applyNumberFormat="1" applyFont="1" applyBorder="1"/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0" fontId="17" fillId="0" borderId="1" xfId="23" applyNumberFormat="1" applyFont="1" applyBorder="1" applyAlignment="1">
      <alignment horizontal="center" vertical="center" wrapText="1"/>
    </xf>
    <xf numFmtId="165" fontId="5" fillId="0" borderId="0" xfId="23" applyNumberFormat="1"/>
    <xf numFmtId="0" fontId="12" fillId="0" borderId="0" xfId="0" applyFont="1"/>
    <xf numFmtId="165" fontId="13" fillId="0" borderId="0" xfId="23" applyNumberFormat="1" applyFont="1"/>
    <xf numFmtId="0" fontId="13" fillId="0" borderId="0" xfId="23" applyFont="1"/>
    <xf numFmtId="165" fontId="17" fillId="0" borderId="8" xfId="23" applyNumberFormat="1" applyFont="1" applyBorder="1" applyAlignment="1">
      <alignment horizontal="center" vertical="center" wrapText="1"/>
    </xf>
    <xf numFmtId="0" fontId="7" fillId="0" borderId="0" xfId="23" applyFont="1" applyAlignment="1">
      <alignment horizontal="right"/>
    </xf>
    <xf numFmtId="10" fontId="7" fillId="0" borderId="0" xfId="23" applyNumberFormat="1" applyFont="1"/>
    <xf numFmtId="0" fontId="4" fillId="0" borderId="0" xfId="23" applyFont="1" applyAlignment="1">
      <alignment horizontal="right"/>
    </xf>
    <xf numFmtId="9" fontId="17" fillId="0" borderId="0" xfId="23" applyNumberFormat="1" applyFont="1" applyAlignment="1">
      <alignment horizontal="center"/>
    </xf>
    <xf numFmtId="0" fontId="31" fillId="4" borderId="0" xfId="23" applyFont="1" applyFill="1" applyAlignment="1">
      <alignment horizontal="center"/>
    </xf>
    <xf numFmtId="10" fontId="32" fillId="3" borderId="0" xfId="23" applyNumberFormat="1" applyFont="1" applyFill="1" applyAlignment="1">
      <alignment horizontal="center"/>
    </xf>
    <xf numFmtId="0" fontId="9" fillId="3" borderId="9" xfId="23" applyFont="1" applyFill="1" applyBorder="1"/>
    <xf numFmtId="0" fontId="5" fillId="3" borderId="10" xfId="23" applyFill="1" applyBorder="1"/>
    <xf numFmtId="4" fontId="5" fillId="3" borderId="11" xfId="23" applyNumberFormat="1" applyFill="1" applyBorder="1"/>
    <xf numFmtId="0" fontId="34" fillId="3" borderId="0" xfId="0" applyFont="1" applyFill="1"/>
    <xf numFmtId="165" fontId="17" fillId="5" borderId="8" xfId="23" applyNumberFormat="1" applyFont="1" applyFill="1" applyBorder="1" applyAlignment="1">
      <alignment horizontal="center" vertical="center" wrapText="1"/>
    </xf>
    <xf numFmtId="0" fontId="35" fillId="3" borderId="0" xfId="23" applyFont="1" applyFill="1"/>
    <xf numFmtId="0" fontId="5" fillId="7" borderId="0" xfId="23" applyFill="1"/>
    <xf numFmtId="0" fontId="9" fillId="7" borderId="0" xfId="23" applyFont="1" applyFill="1"/>
    <xf numFmtId="0" fontId="29" fillId="4" borderId="0" xfId="23" applyFont="1" applyFill="1"/>
    <xf numFmtId="0" fontId="33" fillId="0" borderId="0" xfId="23" applyFont="1"/>
    <xf numFmtId="0" fontId="5" fillId="0" borderId="35" xfId="23" applyBorder="1" applyAlignment="1">
      <alignment horizontal="center"/>
    </xf>
    <xf numFmtId="0" fontId="5" fillId="0" borderId="31" xfId="23" applyBorder="1" applyAlignment="1">
      <alignment horizontal="center"/>
    </xf>
    <xf numFmtId="0" fontId="37" fillId="3" borderId="0" xfId="0" applyFont="1" applyFill="1"/>
    <xf numFmtId="14" fontId="5" fillId="0" borderId="1" xfId="23" applyNumberFormat="1" applyBorder="1" applyAlignment="1">
      <alignment horizontal="center"/>
    </xf>
    <xf numFmtId="176" fontId="9" fillId="3" borderId="0" xfId="23" applyNumberFormat="1" applyFont="1" applyFill="1"/>
    <xf numFmtId="0" fontId="38" fillId="4" borderId="0" xfId="0" applyFont="1" applyFill="1"/>
    <xf numFmtId="0" fontId="17" fillId="4" borderId="0" xfId="23" applyFont="1" applyFill="1" applyAlignment="1">
      <alignment horizontal="center"/>
    </xf>
    <xf numFmtId="14" fontId="5" fillId="0" borderId="20" xfId="23" applyNumberFormat="1" applyBorder="1" applyAlignment="1">
      <alignment horizontal="center"/>
    </xf>
    <xf numFmtId="0" fontId="33" fillId="4" borderId="0" xfId="23" applyFont="1" applyFill="1"/>
    <xf numFmtId="0" fontId="33" fillId="4" borderId="0" xfId="23" applyFont="1" applyFill="1" applyAlignment="1">
      <alignment horizontal="right"/>
    </xf>
    <xf numFmtId="0" fontId="0" fillId="0" borderId="0" xfId="0" applyProtection="1">
      <protection hidden="1"/>
    </xf>
    <xf numFmtId="178" fontId="40" fillId="3" borderId="4" xfId="47" applyNumberFormat="1" applyFont="1" applyFill="1" applyBorder="1" applyAlignment="1" applyProtection="1">
      <alignment vertical="center"/>
      <protection hidden="1"/>
    </xf>
    <xf numFmtId="178" fontId="40" fillId="3" borderId="45" xfId="47" applyNumberFormat="1" applyFont="1" applyFill="1" applyBorder="1" applyAlignment="1" applyProtection="1">
      <alignment vertical="center"/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178" fontId="0" fillId="0" borderId="31" xfId="47" applyNumberFormat="1" applyFont="1" applyBorder="1" applyProtection="1">
      <protection hidden="1"/>
    </xf>
    <xf numFmtId="178" fontId="0" fillId="0" borderId="35" xfId="47" applyNumberFormat="1" applyFont="1" applyBorder="1" applyProtection="1">
      <protection hidden="1"/>
    </xf>
    <xf numFmtId="178" fontId="0" fillId="0" borderId="41" xfId="47" applyNumberFormat="1" applyFont="1" applyBorder="1" applyProtection="1">
      <protection hidden="1"/>
    </xf>
    <xf numFmtId="0" fontId="0" fillId="6" borderId="40" xfId="0" applyFill="1" applyBorder="1" applyAlignment="1" applyProtection="1">
      <alignment horizontal="center" vertical="center"/>
      <protection hidden="1"/>
    </xf>
    <xf numFmtId="0" fontId="0" fillId="6" borderId="17" xfId="0" applyFill="1" applyBorder="1" applyAlignment="1" applyProtection="1">
      <alignment horizontal="center" vertical="center"/>
      <protection hidden="1"/>
    </xf>
    <xf numFmtId="0" fontId="0" fillId="6" borderId="36" xfId="0" applyFill="1" applyBorder="1" applyAlignment="1" applyProtection="1">
      <alignment horizontal="center" vertical="center"/>
      <protection hidden="1"/>
    </xf>
    <xf numFmtId="178" fontId="40" fillId="3" borderId="1" xfId="47" applyNumberFormat="1" applyFont="1" applyFill="1" applyBorder="1" applyAlignment="1" applyProtection="1">
      <alignment vertical="center"/>
      <protection hidden="1"/>
    </xf>
    <xf numFmtId="178" fontId="40" fillId="3" borderId="19" xfId="47" applyNumberFormat="1" applyFont="1" applyFill="1" applyBorder="1" applyAlignment="1" applyProtection="1">
      <alignment vertical="center"/>
      <protection hidden="1"/>
    </xf>
    <xf numFmtId="178" fontId="40" fillId="3" borderId="20" xfId="47" applyNumberFormat="1" applyFont="1" applyFill="1" applyBorder="1" applyAlignment="1" applyProtection="1">
      <alignment vertical="center"/>
      <protection hidden="1"/>
    </xf>
    <xf numFmtId="178" fontId="40" fillId="3" borderId="38" xfId="47" applyNumberFormat="1" applyFont="1" applyFill="1" applyBorder="1" applyAlignment="1" applyProtection="1">
      <alignment vertical="center"/>
      <protection hidden="1"/>
    </xf>
    <xf numFmtId="178" fontId="40" fillId="3" borderId="13" xfId="47" applyNumberFormat="1" applyFont="1" applyFill="1" applyBorder="1" applyAlignment="1" applyProtection="1">
      <alignment vertical="center"/>
      <protection hidden="1"/>
    </xf>
    <xf numFmtId="178" fontId="40" fillId="3" borderId="42" xfId="47" applyNumberFormat="1" applyFont="1" applyFill="1" applyBorder="1" applyAlignment="1" applyProtection="1">
      <alignment vertical="center"/>
      <protection hidden="1"/>
    </xf>
    <xf numFmtId="178" fontId="40" fillId="3" borderId="43" xfId="47" applyNumberFormat="1" applyFont="1" applyFill="1" applyBorder="1" applyAlignment="1" applyProtection="1">
      <alignment vertical="center"/>
      <protection hidden="1"/>
    </xf>
    <xf numFmtId="178" fontId="40" fillId="3" borderId="44" xfId="47" applyNumberFormat="1" applyFont="1" applyFill="1" applyBorder="1" applyAlignment="1" applyProtection="1">
      <alignment vertical="center"/>
      <protection hidden="1"/>
    </xf>
    <xf numFmtId="178" fontId="40" fillId="3" borderId="12" xfId="47" applyNumberFormat="1" applyFont="1" applyFill="1" applyBorder="1" applyAlignment="1" applyProtection="1">
      <alignment vertical="center"/>
      <protection hidden="1"/>
    </xf>
    <xf numFmtId="178" fontId="40" fillId="3" borderId="25" xfId="47" applyNumberFormat="1" applyFont="1" applyFill="1" applyBorder="1" applyAlignment="1" applyProtection="1">
      <alignment vertical="center"/>
      <protection hidden="1"/>
    </xf>
    <xf numFmtId="0" fontId="0" fillId="8" borderId="0" xfId="0" applyFill="1" applyProtection="1">
      <protection hidden="1"/>
    </xf>
    <xf numFmtId="0" fontId="0" fillId="6" borderId="18" xfId="0" applyFill="1" applyBorder="1" applyAlignment="1" applyProtection="1">
      <alignment horizontal="center" vertical="center"/>
      <protection hidden="1"/>
    </xf>
    <xf numFmtId="178" fontId="40" fillId="3" borderId="16" xfId="47" applyNumberFormat="1" applyFont="1" applyFill="1" applyBorder="1" applyAlignment="1" applyProtection="1">
      <alignment vertical="center"/>
      <protection hidden="1"/>
    </xf>
    <xf numFmtId="178" fontId="40" fillId="3" borderId="17" xfId="47" applyNumberFormat="1" applyFont="1" applyFill="1" applyBorder="1" applyAlignment="1" applyProtection="1">
      <alignment vertical="center"/>
      <protection hidden="1"/>
    </xf>
    <xf numFmtId="178" fontId="40" fillId="3" borderId="18" xfId="47" applyNumberFormat="1" applyFont="1" applyFill="1" applyBorder="1" applyAlignment="1" applyProtection="1">
      <alignment vertical="center"/>
      <protection hidden="1"/>
    </xf>
    <xf numFmtId="178" fontId="0" fillId="0" borderId="7" xfId="47" applyNumberFormat="1" applyFont="1" applyBorder="1" applyProtection="1">
      <protection hidden="1"/>
    </xf>
    <xf numFmtId="178" fontId="40" fillId="3" borderId="47" xfId="47" applyNumberFormat="1" applyFont="1" applyFill="1" applyBorder="1" applyAlignment="1" applyProtection="1">
      <alignment vertical="center"/>
      <protection hidden="1"/>
    </xf>
    <xf numFmtId="178" fontId="40" fillId="3" borderId="39" xfId="47" applyNumberFormat="1" applyFont="1" applyFill="1" applyBorder="1" applyAlignment="1" applyProtection="1">
      <alignment vertical="center"/>
      <protection hidden="1"/>
    </xf>
    <xf numFmtId="178" fontId="40" fillId="3" borderId="34" xfId="47" applyNumberFormat="1" applyFont="1" applyFill="1" applyBorder="1" applyAlignment="1" applyProtection="1">
      <alignment vertical="center"/>
      <protection hidden="1"/>
    </xf>
    <xf numFmtId="0" fontId="40" fillId="3" borderId="23" xfId="0" applyFont="1" applyFill="1" applyBorder="1" applyAlignment="1" applyProtection="1">
      <alignment vertical="center"/>
      <protection hidden="1"/>
    </xf>
    <xf numFmtId="0" fontId="40" fillId="3" borderId="22" xfId="0" applyFont="1" applyFill="1" applyBorder="1" applyAlignment="1" applyProtection="1">
      <alignment vertical="center"/>
      <protection hidden="1"/>
    </xf>
    <xf numFmtId="0" fontId="40" fillId="3" borderId="46" xfId="0" applyFont="1" applyFill="1" applyBorder="1" applyAlignment="1" applyProtection="1">
      <alignment vertical="center"/>
      <protection hidden="1"/>
    </xf>
    <xf numFmtId="0" fontId="40" fillId="3" borderId="7" xfId="0" applyFont="1" applyFill="1" applyBorder="1" applyAlignment="1" applyProtection="1">
      <alignment vertical="center"/>
      <protection hidden="1"/>
    </xf>
    <xf numFmtId="0" fontId="22" fillId="0" borderId="1" xfId="0" applyFont="1" applyBorder="1" applyProtection="1">
      <protection hidden="1"/>
    </xf>
    <xf numFmtId="0" fontId="22" fillId="8" borderId="1" xfId="0" applyFont="1" applyFill="1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38" fillId="0" borderId="0" xfId="0" applyFont="1" applyProtection="1">
      <protection hidden="1"/>
    </xf>
    <xf numFmtId="1" fontId="29" fillId="4" borderId="0" xfId="23" applyNumberFormat="1" applyFont="1" applyFill="1" applyAlignment="1">
      <alignment vertical="top" wrapText="1"/>
    </xf>
    <xf numFmtId="165" fontId="29" fillId="4" borderId="0" xfId="23" applyNumberFormat="1" applyFont="1" applyFill="1"/>
    <xf numFmtId="14" fontId="41" fillId="3" borderId="0" xfId="23" applyNumberFormat="1" applyFont="1" applyFill="1" applyAlignment="1">
      <alignment horizontal="center"/>
    </xf>
    <xf numFmtId="165" fontId="17" fillId="5" borderId="32" xfId="23" applyNumberFormat="1" applyFont="1" applyFill="1" applyBorder="1" applyAlignment="1">
      <alignment horizontal="center" vertical="center" wrapText="1"/>
    </xf>
    <xf numFmtId="14" fontId="28" fillId="3" borderId="0" xfId="23" applyNumberFormat="1" applyFont="1" applyFill="1"/>
    <xf numFmtId="1" fontId="4" fillId="3" borderId="0" xfId="23" applyNumberFormat="1" applyFont="1" applyFill="1" applyAlignment="1">
      <alignment horizontal="center" vertical="center"/>
    </xf>
    <xf numFmtId="166" fontId="4" fillId="0" borderId="0" xfId="23" applyNumberFormat="1" applyFont="1" applyAlignment="1">
      <alignment horizontal="center"/>
    </xf>
    <xf numFmtId="10" fontId="17" fillId="0" borderId="0" xfId="23" applyNumberFormat="1" applyFont="1" applyAlignment="1">
      <alignment horizontal="center"/>
    </xf>
    <xf numFmtId="0" fontId="5" fillId="0" borderId="41" xfId="23" applyBorder="1" applyAlignment="1">
      <alignment horizontal="center"/>
    </xf>
    <xf numFmtId="14" fontId="5" fillId="0" borderId="17" xfId="23" applyNumberFormat="1" applyBorder="1" applyAlignment="1">
      <alignment horizontal="center"/>
    </xf>
    <xf numFmtId="2" fontId="5" fillId="0" borderId="20" xfId="23" applyNumberFormat="1" applyBorder="1" applyAlignment="1">
      <alignment horizontal="center"/>
    </xf>
    <xf numFmtId="167" fontId="5" fillId="0" borderId="20" xfId="23" applyNumberFormat="1" applyBorder="1" applyAlignment="1">
      <alignment horizontal="center"/>
    </xf>
    <xf numFmtId="2" fontId="5" fillId="0" borderId="1" xfId="23" applyNumberFormat="1" applyBorder="1" applyAlignment="1">
      <alignment horizontal="center"/>
    </xf>
    <xf numFmtId="167" fontId="5" fillId="0" borderId="1" xfId="23" applyNumberFormat="1" applyBorder="1" applyAlignment="1">
      <alignment horizontal="center"/>
    </xf>
    <xf numFmtId="0" fontId="5" fillId="9" borderId="0" xfId="23" applyFill="1"/>
    <xf numFmtId="168" fontId="10" fillId="2" borderId="7" xfId="23" applyNumberFormat="1" applyFont="1" applyFill="1" applyBorder="1" applyAlignment="1">
      <alignment horizontal="center" vertical="center"/>
    </xf>
    <xf numFmtId="10" fontId="4" fillId="0" borderId="48" xfId="23" applyNumberFormat="1" applyFont="1" applyBorder="1"/>
    <xf numFmtId="10" fontId="4" fillId="0" borderId="0" xfId="23" applyNumberFormat="1" applyFont="1"/>
    <xf numFmtId="178" fontId="44" fillId="10" borderId="1" xfId="47" applyNumberFormat="1" applyFont="1" applyFill="1" applyBorder="1" applyAlignment="1" applyProtection="1">
      <alignment horizontal="center" vertical="top" wrapText="1"/>
      <protection locked="0"/>
    </xf>
    <xf numFmtId="168" fontId="10" fillId="2" borderId="8" xfId="23" applyNumberFormat="1" applyFont="1" applyFill="1" applyBorder="1" applyAlignment="1">
      <alignment horizontal="center" vertical="center"/>
    </xf>
    <xf numFmtId="2" fontId="5" fillId="0" borderId="19" xfId="23" applyNumberFormat="1" applyBorder="1" applyAlignment="1">
      <alignment horizontal="center"/>
    </xf>
    <xf numFmtId="2" fontId="5" fillId="0" borderId="13" xfId="23" applyNumberFormat="1" applyBorder="1" applyAlignment="1">
      <alignment horizontal="center"/>
    </xf>
    <xf numFmtId="2" fontId="5" fillId="0" borderId="49" xfId="23" applyNumberFormat="1" applyBorder="1" applyAlignment="1">
      <alignment horizontal="center"/>
    </xf>
    <xf numFmtId="167" fontId="5" fillId="0" borderId="43" xfId="23" applyNumberFormat="1" applyBorder="1" applyAlignment="1">
      <alignment horizontal="center"/>
    </xf>
    <xf numFmtId="14" fontId="5" fillId="0" borderId="50" xfId="23" applyNumberFormat="1" applyBorder="1" applyAlignment="1">
      <alignment horizontal="center"/>
    </xf>
    <xf numFmtId="14" fontId="5" fillId="0" borderId="2" xfId="23" applyNumberFormat="1" applyBorder="1" applyAlignment="1">
      <alignment horizontal="center"/>
    </xf>
    <xf numFmtId="14" fontId="5" fillId="0" borderId="11" xfId="23" applyNumberFormat="1" applyBorder="1" applyAlignment="1">
      <alignment horizontal="center"/>
    </xf>
    <xf numFmtId="0" fontId="5" fillId="0" borderId="23" xfId="23" applyBorder="1" applyAlignment="1">
      <alignment horizontal="center"/>
    </xf>
    <xf numFmtId="0" fontId="5" fillId="0" borderId="22" xfId="23" applyBorder="1" applyAlignment="1">
      <alignment horizontal="center"/>
    </xf>
    <xf numFmtId="0" fontId="5" fillId="0" borderId="51" xfId="23" applyBorder="1" applyAlignment="1">
      <alignment horizontal="center"/>
    </xf>
    <xf numFmtId="0" fontId="0" fillId="8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14" fillId="0" borderId="34" xfId="0" applyFont="1" applyBorder="1" applyAlignment="1">
      <alignment vertical="center"/>
    </xf>
    <xf numFmtId="0" fontId="0" fillId="11" borderId="1" xfId="0" applyFill="1" applyBorder="1" applyProtection="1">
      <protection hidden="1"/>
    </xf>
    <xf numFmtId="10" fontId="0" fillId="11" borderId="1" xfId="24" applyNumberFormat="1" applyFont="1" applyFill="1" applyBorder="1" applyProtection="1">
      <protection hidden="1"/>
    </xf>
    <xf numFmtId="4" fontId="3" fillId="11" borderId="1" xfId="2" applyNumberFormat="1" applyFill="1" applyBorder="1" applyAlignment="1" applyProtection="1">
      <alignment horizontal="center"/>
      <protection hidden="1"/>
    </xf>
    <xf numFmtId="174" fontId="3" fillId="11" borderId="1" xfId="49" applyNumberFormat="1" applyFont="1" applyFill="1" applyBorder="1" applyAlignment="1">
      <alignment horizontal="center"/>
    </xf>
    <xf numFmtId="175" fontId="3" fillId="11" borderId="1" xfId="24" applyNumberFormat="1" applyFont="1" applyFill="1" applyBorder="1" applyAlignment="1" applyProtection="1">
      <alignment horizontal="right"/>
      <protection hidden="1"/>
    </xf>
    <xf numFmtId="175" fontId="0" fillId="11" borderId="1" xfId="24" applyNumberFormat="1" applyFont="1" applyFill="1" applyBorder="1" applyAlignment="1" applyProtection="1">
      <alignment horizontal="right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0" fillId="6" borderId="30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 vertical="center"/>
      <protection hidden="1"/>
    </xf>
    <xf numFmtId="0" fontId="0" fillId="6" borderId="20" xfId="0" applyFill="1" applyBorder="1" applyAlignment="1" applyProtection="1">
      <alignment horizontal="center" vertical="center"/>
      <protection hidden="1"/>
    </xf>
    <xf numFmtId="0" fontId="0" fillId="6" borderId="37" xfId="0" applyFill="1" applyBorder="1" applyAlignment="1" applyProtection="1">
      <alignment horizontal="center" vertical="center"/>
      <protection hidden="1"/>
    </xf>
    <xf numFmtId="0" fontId="0" fillId="6" borderId="38" xfId="0" applyFill="1" applyBorder="1" applyAlignment="1" applyProtection="1">
      <alignment horizontal="center" vertical="center"/>
      <protection hidden="1"/>
    </xf>
    <xf numFmtId="0" fontId="0" fillId="6" borderId="23" xfId="0" applyFill="1" applyBorder="1" applyAlignment="1" applyProtection="1">
      <alignment horizontal="center" vertical="center"/>
      <protection hidden="1"/>
    </xf>
    <xf numFmtId="0" fontId="0" fillId="6" borderId="46" xfId="0" applyFill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39" fillId="6" borderId="32" xfId="0" applyFont="1" applyFill="1" applyBorder="1" applyAlignment="1" applyProtection="1">
      <alignment horizontal="center" vertical="center"/>
      <protection hidden="1"/>
    </xf>
    <xf numFmtId="0" fontId="39" fillId="6" borderId="33" xfId="0" applyFont="1" applyFill="1" applyBorder="1" applyAlignment="1" applyProtection="1">
      <alignment horizontal="center" vertical="center"/>
      <protection hidden="1"/>
    </xf>
    <xf numFmtId="0" fontId="39" fillId="6" borderId="34" xfId="0" applyFont="1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 wrapText="1"/>
      <protection hidden="1"/>
    </xf>
    <xf numFmtId="0" fontId="0" fillId="6" borderId="8" xfId="0" applyFill="1" applyBorder="1" applyAlignment="1" applyProtection="1">
      <alignment horizontal="center" vertical="center" wrapText="1"/>
      <protection hidden="1"/>
    </xf>
    <xf numFmtId="0" fontId="10" fillId="2" borderId="32" xfId="23" applyFont="1" applyFill="1" applyBorder="1" applyAlignment="1">
      <alignment horizontal="left" vertical="center"/>
    </xf>
    <xf numFmtId="0" fontId="10" fillId="2" borderId="34" xfId="23" applyFont="1" applyFill="1" applyBorder="1" applyAlignment="1">
      <alignment horizontal="left" vertical="center"/>
    </xf>
    <xf numFmtId="168" fontId="10" fillId="2" borderId="28" xfId="23" applyNumberFormat="1" applyFont="1" applyFill="1" applyBorder="1" applyAlignment="1">
      <alignment horizontal="center" vertical="center"/>
    </xf>
    <xf numFmtId="168" fontId="10" fillId="2" borderId="29" xfId="23" applyNumberFormat="1" applyFont="1" applyFill="1" applyBorder="1" applyAlignment="1">
      <alignment horizontal="center" vertical="center"/>
    </xf>
    <xf numFmtId="166" fontId="5" fillId="3" borderId="0" xfId="46" applyNumberFormat="1" applyFont="1" applyFill="1" applyAlignment="1" applyProtection="1">
      <alignment horizontal="left"/>
    </xf>
    <xf numFmtId="4" fontId="17" fillId="0" borderId="1" xfId="23" applyNumberFormat="1" applyFont="1" applyBorder="1" applyAlignment="1">
      <alignment horizontal="center"/>
    </xf>
    <xf numFmtId="4" fontId="17" fillId="0" borderId="42" xfId="23" applyNumberFormat="1" applyFont="1" applyBorder="1" applyAlignment="1">
      <alignment horizontal="center"/>
    </xf>
    <xf numFmtId="4" fontId="17" fillId="0" borderId="43" xfId="23" applyNumberFormat="1" applyFont="1" applyBorder="1" applyAlignment="1">
      <alignment horizontal="center"/>
    </xf>
    <xf numFmtId="4" fontId="17" fillId="0" borderId="44" xfId="23" applyNumberFormat="1" applyFont="1" applyBorder="1" applyAlignment="1">
      <alignment horizontal="center"/>
    </xf>
    <xf numFmtId="0" fontId="8" fillId="2" borderId="15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10" fontId="17" fillId="0" borderId="0" xfId="23" applyNumberFormat="1" applyFont="1" applyAlignment="1">
      <alignment horizontal="center"/>
    </xf>
    <xf numFmtId="0" fontId="14" fillId="5" borderId="32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165" fontId="17" fillId="5" borderId="32" xfId="23" applyNumberFormat="1" applyFont="1" applyFill="1" applyBorder="1" applyAlignment="1">
      <alignment horizontal="center" vertical="center" wrapText="1"/>
    </xf>
    <xf numFmtId="165" fontId="17" fillId="5" borderId="34" xfId="23" applyNumberFormat="1" applyFont="1" applyFill="1" applyBorder="1" applyAlignment="1">
      <alignment horizontal="center" vertical="center" wrapText="1"/>
    </xf>
    <xf numFmtId="4" fontId="31" fillId="3" borderId="10" xfId="23" applyNumberFormat="1" applyFont="1" applyFill="1" applyBorder="1" applyAlignment="1">
      <alignment horizontal="center"/>
    </xf>
    <xf numFmtId="4" fontId="31" fillId="3" borderId="27" xfId="23" applyNumberFormat="1" applyFont="1" applyFill="1" applyBorder="1" applyAlignment="1">
      <alignment horizontal="center"/>
    </xf>
    <xf numFmtId="4" fontId="17" fillId="0" borderId="20" xfId="23" applyNumberFormat="1" applyFont="1" applyBorder="1" applyAlignment="1">
      <alignment horizontal="center"/>
    </xf>
    <xf numFmtId="4" fontId="17" fillId="0" borderId="38" xfId="23" applyNumberFormat="1" applyFont="1" applyBorder="1" applyAlignment="1">
      <alignment horizontal="center"/>
    </xf>
    <xf numFmtId="0" fontId="8" fillId="6" borderId="15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9" fillId="0" borderId="48" xfId="23" applyFont="1" applyBorder="1" applyAlignment="1">
      <alignment horizontal="center"/>
    </xf>
    <xf numFmtId="0" fontId="9" fillId="0" borderId="0" xfId="23" applyFont="1" applyAlignment="1">
      <alignment horizontal="center"/>
    </xf>
    <xf numFmtId="171" fontId="17" fillId="0" borderId="0" xfId="23" applyNumberFormat="1" applyFont="1" applyAlignment="1">
      <alignment horizontal="center"/>
    </xf>
    <xf numFmtId="0" fontId="4" fillId="9" borderId="5" xfId="23" applyFont="1" applyFill="1" applyBorder="1" applyAlignment="1">
      <alignment horizontal="center"/>
    </xf>
    <xf numFmtId="0" fontId="17" fillId="5" borderId="9" xfId="23" applyFont="1" applyFill="1" applyBorder="1" applyAlignment="1" applyProtection="1">
      <alignment horizontal="center" vertical="center"/>
      <protection locked="0"/>
    </xf>
    <xf numFmtId="0" fontId="17" fillId="5" borderId="27" xfId="23" applyFont="1" applyFill="1" applyBorder="1" applyAlignment="1" applyProtection="1">
      <alignment horizontal="center" vertical="center"/>
      <protection locked="0"/>
    </xf>
    <xf numFmtId="10" fontId="36" fillId="4" borderId="0" xfId="23" applyNumberFormat="1" applyFont="1" applyFill="1" applyAlignment="1">
      <alignment horizontal="center" vertical="center" wrapText="1"/>
    </xf>
    <xf numFmtId="10" fontId="23" fillId="5" borderId="28" xfId="23" applyNumberFormat="1" applyFont="1" applyFill="1" applyBorder="1" applyAlignment="1">
      <alignment horizontal="center" vertical="center"/>
    </xf>
    <xf numFmtId="10" fontId="23" fillId="5" borderId="29" xfId="23" applyNumberFormat="1" applyFont="1" applyFill="1" applyBorder="1" applyAlignment="1">
      <alignment horizontal="center" vertical="center"/>
    </xf>
    <xf numFmtId="0" fontId="46" fillId="9" borderId="32" xfId="0" applyFont="1" applyFill="1" applyBorder="1" applyAlignment="1">
      <alignment horizontal="left" vertical="center"/>
    </xf>
    <xf numFmtId="0" fontId="42" fillId="9" borderId="33" xfId="0" applyFont="1" applyFill="1" applyBorder="1" applyAlignment="1">
      <alignment horizontal="left" vertical="center"/>
    </xf>
    <xf numFmtId="0" fontId="42" fillId="9" borderId="39" xfId="0" applyFont="1" applyFill="1" applyBorder="1" applyAlignment="1">
      <alignment horizontal="left" vertical="center"/>
    </xf>
    <xf numFmtId="168" fontId="10" fillId="2" borderId="32" xfId="23" applyNumberFormat="1" applyFont="1" applyFill="1" applyBorder="1" applyAlignment="1">
      <alignment horizontal="center" vertical="center"/>
    </xf>
    <xf numFmtId="168" fontId="10" fillId="2" borderId="34" xfId="23" applyNumberFormat="1" applyFont="1" applyFill="1" applyBorder="1" applyAlignment="1">
      <alignment horizontal="center" vertical="center"/>
    </xf>
    <xf numFmtId="4" fontId="17" fillId="0" borderId="17" xfId="23" applyNumberFormat="1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7" fillId="0" borderId="15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8" fillId="0" borderId="14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166" fontId="5" fillId="0" borderId="0" xfId="46" applyNumberFormat="1" applyFont="1" applyFill="1" applyAlignment="1" applyProtection="1">
      <alignment horizontal="left"/>
    </xf>
    <xf numFmtId="165" fontId="17" fillId="0" borderId="32" xfId="23" applyNumberFormat="1" applyFont="1" applyBorder="1" applyAlignment="1">
      <alignment horizontal="center" vertical="center" wrapText="1"/>
    </xf>
    <xf numFmtId="165" fontId="17" fillId="0" borderId="34" xfId="23" applyNumberFormat="1" applyFont="1" applyBorder="1" applyAlignment="1">
      <alignment horizontal="center" vertical="center" wrapText="1"/>
    </xf>
    <xf numFmtId="165" fontId="17" fillId="0" borderId="31" xfId="23" applyNumberFormat="1" applyFont="1" applyBorder="1" applyAlignment="1">
      <alignment horizontal="center" vertical="center" wrapText="1"/>
    </xf>
    <xf numFmtId="165" fontId="17" fillId="0" borderId="24" xfId="23" applyNumberFormat="1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</cellXfs>
  <cellStyles count="75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17 2" xfId="52" xr:uid="{00000000-0005-0000-0000-000003000000}"/>
    <cellStyle name="Обычный 2" xfId="2" xr:uid="{00000000-0005-0000-0000-000004000000}"/>
    <cellStyle name="Обычный 2 10" xfId="3" xr:uid="{00000000-0005-0000-0000-000005000000}"/>
    <cellStyle name="Обычный 2 10 2" xfId="53" xr:uid="{00000000-0005-0000-0000-000006000000}"/>
    <cellStyle name="Обычный 2 11" xfId="4" xr:uid="{00000000-0005-0000-0000-000007000000}"/>
    <cellStyle name="Обычный 2 11 2" xfId="54" xr:uid="{00000000-0005-0000-0000-000008000000}"/>
    <cellStyle name="Обычный 2 12" xfId="5" xr:uid="{00000000-0005-0000-0000-000009000000}"/>
    <cellStyle name="Обычный 2 12 2" xfId="55" xr:uid="{00000000-0005-0000-0000-00000A000000}"/>
    <cellStyle name="Обычный 2 13" xfId="6" xr:uid="{00000000-0005-0000-0000-00000B000000}"/>
    <cellStyle name="Обычный 2 13 2" xfId="56" xr:uid="{00000000-0005-0000-0000-00000C000000}"/>
    <cellStyle name="Обычный 2 14" xfId="7" xr:uid="{00000000-0005-0000-0000-00000D000000}"/>
    <cellStyle name="Обычный 2 14 2" xfId="57" xr:uid="{00000000-0005-0000-0000-00000E000000}"/>
    <cellStyle name="Обычный 2 15" xfId="8" xr:uid="{00000000-0005-0000-0000-00000F000000}"/>
    <cellStyle name="Обычный 2 15 2" xfId="58" xr:uid="{00000000-0005-0000-0000-000010000000}"/>
    <cellStyle name="Обычный 2 16" xfId="9" xr:uid="{00000000-0005-0000-0000-000011000000}"/>
    <cellStyle name="Обычный 2 16 2" xfId="59" xr:uid="{00000000-0005-0000-0000-000012000000}"/>
    <cellStyle name="Обычный 2 17" xfId="10" xr:uid="{00000000-0005-0000-0000-000013000000}"/>
    <cellStyle name="Обычный 2 17 2" xfId="60" xr:uid="{00000000-0005-0000-0000-000014000000}"/>
    <cellStyle name="Обычный 2 18" xfId="11" xr:uid="{00000000-0005-0000-0000-000015000000}"/>
    <cellStyle name="Обычный 2 18 2" xfId="61" xr:uid="{00000000-0005-0000-0000-000016000000}"/>
    <cellStyle name="Обычный 2 19" xfId="12" xr:uid="{00000000-0005-0000-0000-000017000000}"/>
    <cellStyle name="Обычный 2 19 2" xfId="62" xr:uid="{00000000-0005-0000-0000-000018000000}"/>
    <cellStyle name="Обычный 2 2" xfId="13" xr:uid="{00000000-0005-0000-0000-000019000000}"/>
    <cellStyle name="Обычный 2 2 2" xfId="63" xr:uid="{00000000-0005-0000-0000-00001A000000}"/>
    <cellStyle name="Обычный 2 20" xfId="14" xr:uid="{00000000-0005-0000-0000-00001B000000}"/>
    <cellStyle name="Обычный 2 20 2" xfId="64" xr:uid="{00000000-0005-0000-0000-00001C000000}"/>
    <cellStyle name="Обычный 2 21" xfId="15" xr:uid="{00000000-0005-0000-0000-00001D000000}"/>
    <cellStyle name="Обычный 2 21 2" xfId="65" xr:uid="{00000000-0005-0000-0000-00001E000000}"/>
    <cellStyle name="Обычный 2 3" xfId="16" xr:uid="{00000000-0005-0000-0000-00001F000000}"/>
    <cellStyle name="Обычный 2 3 2" xfId="66" xr:uid="{00000000-0005-0000-0000-000020000000}"/>
    <cellStyle name="Обычный 2 4" xfId="17" xr:uid="{00000000-0005-0000-0000-000021000000}"/>
    <cellStyle name="Обычный 2 4 2" xfId="67" xr:uid="{00000000-0005-0000-0000-000022000000}"/>
    <cellStyle name="Обычный 2 5" xfId="18" xr:uid="{00000000-0005-0000-0000-000023000000}"/>
    <cellStyle name="Обычный 2 5 2" xfId="68" xr:uid="{00000000-0005-0000-0000-000024000000}"/>
    <cellStyle name="Обычный 2 6" xfId="19" xr:uid="{00000000-0005-0000-0000-000025000000}"/>
    <cellStyle name="Обычный 2 6 2" xfId="69" xr:uid="{00000000-0005-0000-0000-000026000000}"/>
    <cellStyle name="Обычный 2 7" xfId="20" xr:uid="{00000000-0005-0000-0000-000027000000}"/>
    <cellStyle name="Обычный 2 7 2" xfId="70" xr:uid="{00000000-0005-0000-0000-000028000000}"/>
    <cellStyle name="Обычный 2 8" xfId="21" xr:uid="{00000000-0005-0000-0000-000029000000}"/>
    <cellStyle name="Обычный 2 8 2" xfId="71" xr:uid="{00000000-0005-0000-0000-00002A000000}"/>
    <cellStyle name="Обычный 2 9" xfId="22" xr:uid="{00000000-0005-0000-0000-00002B000000}"/>
    <cellStyle name="Обычный 2 9 2" xfId="72" xr:uid="{00000000-0005-0000-0000-00002C000000}"/>
    <cellStyle name="Обычный 3" xfId="51" xr:uid="{00000000-0005-0000-0000-00002D000000}"/>
    <cellStyle name="Обычный 3 2" xfId="74" xr:uid="{00000000-0005-0000-0000-00002E000000}"/>
    <cellStyle name="Обычный_Nedootrumani_dohodu" xfId="23" xr:uid="{00000000-0005-0000-0000-00002F000000}"/>
    <cellStyle name="Процентный 2" xfId="25" xr:uid="{00000000-0005-0000-0000-000031000000}"/>
    <cellStyle name="Процентный 2 10" xfId="26" xr:uid="{00000000-0005-0000-0000-000032000000}"/>
    <cellStyle name="Процентный 2 11" xfId="27" xr:uid="{00000000-0005-0000-0000-000033000000}"/>
    <cellStyle name="Процентный 2 12" xfId="28" xr:uid="{00000000-0005-0000-0000-000034000000}"/>
    <cellStyle name="Процентный 2 13" xfId="29" xr:uid="{00000000-0005-0000-0000-000035000000}"/>
    <cellStyle name="Процентный 2 14" xfId="30" xr:uid="{00000000-0005-0000-0000-000036000000}"/>
    <cellStyle name="Процентный 2 15" xfId="31" xr:uid="{00000000-0005-0000-0000-000037000000}"/>
    <cellStyle name="Процентный 2 16" xfId="32" xr:uid="{00000000-0005-0000-0000-000038000000}"/>
    <cellStyle name="Процентный 2 17" xfId="33" xr:uid="{00000000-0005-0000-0000-000039000000}"/>
    <cellStyle name="Процентный 2 18" xfId="34" xr:uid="{00000000-0005-0000-0000-00003A000000}"/>
    <cellStyle name="Процентный 2 19" xfId="35" xr:uid="{00000000-0005-0000-0000-00003B000000}"/>
    <cellStyle name="Процентный 2 2" xfId="36" xr:uid="{00000000-0005-0000-0000-00003C000000}"/>
    <cellStyle name="Процентный 2 20" xfId="37" xr:uid="{00000000-0005-0000-0000-00003D000000}"/>
    <cellStyle name="Процентный 2 21" xfId="38" xr:uid="{00000000-0005-0000-0000-00003E000000}"/>
    <cellStyle name="Процентный 2 3" xfId="39" xr:uid="{00000000-0005-0000-0000-00003F000000}"/>
    <cellStyle name="Процентный 2 4" xfId="40" xr:uid="{00000000-0005-0000-0000-000040000000}"/>
    <cellStyle name="Процентный 2 5" xfId="41" xr:uid="{00000000-0005-0000-0000-000041000000}"/>
    <cellStyle name="Процентный 2 6" xfId="42" xr:uid="{00000000-0005-0000-0000-000042000000}"/>
    <cellStyle name="Процентный 2 7" xfId="43" xr:uid="{00000000-0005-0000-0000-000043000000}"/>
    <cellStyle name="Процентный 2 8" xfId="44" xr:uid="{00000000-0005-0000-0000-000044000000}"/>
    <cellStyle name="Процентный 2 9" xfId="45" xr:uid="{00000000-0005-0000-0000-000045000000}"/>
    <cellStyle name="Процентный 3" xfId="46" xr:uid="{00000000-0005-0000-0000-000046000000}"/>
    <cellStyle name="Процентный 3 2" xfId="49" xr:uid="{00000000-0005-0000-0000-000047000000}"/>
    <cellStyle name="Финансовый 2" xfId="48" xr:uid="{00000000-0005-0000-0000-000049000000}"/>
    <cellStyle name="Финансовый 2 2" xfId="73" xr:uid="{00000000-0005-0000-0000-00004A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0;&#1072;&#1083;&#1100;&#1082;&#1091;&#1083;&#1103;&#1090;&#1086;&#1088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2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2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175933</xdr:colOff>
      <xdr:row>6</xdr:row>
      <xdr:rowOff>132791</xdr:rowOff>
    </xdr:from>
    <xdr:to>
      <xdr:col>20</xdr:col>
      <xdr:colOff>388938</xdr:colOff>
      <xdr:row>8</xdr:row>
      <xdr:rowOff>123265</xdr:rowOff>
    </xdr:to>
    <xdr:sp macro="" textlink="">
      <xdr:nvSpPr>
        <xdr:cNvPr id="2" name="Стрелка вправо с вырезом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384492" y="1365438"/>
          <a:ext cx="2028358" cy="30423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uk-UA" sz="1200" b="1" u="sng">
              <a:solidFill>
                <a:sysClr val="windowText" lastClr="000000"/>
              </a:solidFill>
            </a:rPr>
            <a:t>Натисніть, щоб перейти до калькулятора</a:t>
          </a:r>
          <a:endParaRPr lang="ru-RU" sz="1200" b="1" u="sng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755836</xdr:colOff>
      <xdr:row>0</xdr:row>
      <xdr:rowOff>45945</xdr:rowOff>
    </xdr:from>
    <xdr:to>
      <xdr:col>2</xdr:col>
      <xdr:colOff>248369</xdr:colOff>
      <xdr:row>2</xdr:row>
      <xdr:rowOff>97652</xdr:rowOff>
    </xdr:to>
    <xdr:pic>
      <xdr:nvPicPr>
        <xdr:cNvPr id="3" name="Picture 1" descr="IdeaBan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0954" y="45945"/>
          <a:ext cx="2047474" cy="365472"/>
        </a:xfrm>
        <a:prstGeom prst="rect">
          <a:avLst/>
        </a:prstGeom>
        <a:solidFill>
          <a:srgbClr val="A6A6A6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811258</xdr:colOff>
      <xdr:row>3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7165" y="270510"/>
          <a:ext cx="2112373" cy="33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3</xdr:col>
      <xdr:colOff>877933</xdr:colOff>
      <xdr:row>3</xdr:row>
      <xdr:rowOff>47625</xdr:rowOff>
    </xdr:to>
    <xdr:pic>
      <xdr:nvPicPr>
        <xdr:cNvPr id="3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875" y="260985"/>
          <a:ext cx="2213338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811258</xdr:colOff>
      <xdr:row>3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7165" y="270510"/>
          <a:ext cx="2112373" cy="33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3</xdr:col>
      <xdr:colOff>877933</xdr:colOff>
      <xdr:row>3</xdr:row>
      <xdr:rowOff>47625</xdr:rowOff>
    </xdr:to>
    <xdr:pic>
      <xdr:nvPicPr>
        <xdr:cNvPr id="3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875" y="260985"/>
          <a:ext cx="2213338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3:Q21"/>
  <sheetViews>
    <sheetView view="pageBreakPreview" zoomScale="85" zoomScaleNormal="100" zoomScaleSheetLayoutView="85" workbookViewId="0">
      <selection activeCell="E9" sqref="E9"/>
    </sheetView>
  </sheetViews>
  <sheetFormatPr defaultColWidth="9.140625" defaultRowHeight="12.75" x14ac:dyDescent="0.2"/>
  <cols>
    <col min="1" max="1" width="9.140625" style="111"/>
    <col min="2" max="2" width="38.28515625" style="111" customWidth="1"/>
    <col min="3" max="3" width="23.7109375" style="111" bestFit="1" customWidth="1"/>
    <col min="4" max="4" width="10.42578125" style="111" hidden="1" customWidth="1"/>
    <col min="5" max="10" width="10.42578125" style="111" customWidth="1"/>
    <col min="11" max="16" width="10.42578125" style="111" hidden="1" customWidth="1"/>
    <col min="17" max="17" width="18.42578125" style="111" customWidth="1"/>
    <col min="18" max="16384" width="9.140625" style="111"/>
  </cols>
  <sheetData>
    <row r="3" spans="2:17" ht="13.5" thickBot="1" x14ac:dyDescent="0.25"/>
    <row r="4" spans="2:17" ht="18.95" customHeight="1" thickBot="1" x14ac:dyDescent="0.25">
      <c r="B4" s="201" t="s">
        <v>40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3"/>
    </row>
    <row r="5" spans="2:17" ht="20.25" customHeight="1" x14ac:dyDescent="0.2">
      <c r="B5" s="204" t="s">
        <v>41</v>
      </c>
      <c r="C5" s="190" t="s">
        <v>33</v>
      </c>
      <c r="D5" s="192" t="s">
        <v>32</v>
      </c>
      <c r="E5" s="193"/>
      <c r="F5" s="193"/>
      <c r="G5" s="193"/>
      <c r="H5" s="193"/>
      <c r="I5" s="193"/>
      <c r="J5" s="193"/>
      <c r="K5" s="194"/>
      <c r="L5" s="194"/>
      <c r="M5" s="194"/>
      <c r="N5" s="194"/>
      <c r="O5" s="194"/>
      <c r="P5" s="195"/>
      <c r="Q5" s="196" t="s">
        <v>36</v>
      </c>
    </row>
    <row r="6" spans="2:17" ht="20.25" customHeight="1" thickBot="1" x14ac:dyDescent="0.25">
      <c r="B6" s="205"/>
      <c r="C6" s="191"/>
      <c r="D6" s="119" t="s">
        <v>35</v>
      </c>
      <c r="E6" s="120" t="s">
        <v>34</v>
      </c>
      <c r="F6" s="120" t="s">
        <v>31</v>
      </c>
      <c r="G6" s="120" t="s">
        <v>37</v>
      </c>
      <c r="H6" s="120" t="s">
        <v>38</v>
      </c>
      <c r="I6" s="120" t="s">
        <v>1</v>
      </c>
      <c r="J6" s="120" t="s">
        <v>0</v>
      </c>
      <c r="K6" s="121" t="s">
        <v>39</v>
      </c>
      <c r="L6" s="121" t="s">
        <v>42</v>
      </c>
      <c r="M6" s="121" t="s">
        <v>43</v>
      </c>
      <c r="N6" s="121" t="s">
        <v>44</v>
      </c>
      <c r="O6" s="121" t="s">
        <v>45</v>
      </c>
      <c r="P6" s="133" t="s">
        <v>46</v>
      </c>
      <c r="Q6" s="197"/>
    </row>
    <row r="7" spans="2:17" x14ac:dyDescent="0.2">
      <c r="B7" s="116"/>
      <c r="C7" s="141" t="s">
        <v>56</v>
      </c>
      <c r="D7" s="123">
        <f>IFERROR(VLOOKUP(CONCATENATE($C7,", ",D$6),#REF!,26,0),0)</f>
        <v>0</v>
      </c>
      <c r="E7" s="124">
        <f>IFERROR(VLOOKUP(CONCATENATE($C7,", ",E$6),#REF!,26,0),0)</f>
        <v>0</v>
      </c>
      <c r="F7" s="124">
        <f>IFERROR(VLOOKUP(CONCATENATE($C7,", ",F$6),#REF!,26,0),0)</f>
        <v>0</v>
      </c>
      <c r="G7" s="124">
        <f>IFERROR(VLOOKUP(CONCATENATE($C7,", ",G$6),#REF!,26,0),0)</f>
        <v>0</v>
      </c>
      <c r="H7" s="124">
        <f>IFERROR(VLOOKUP(CONCATENATE($C7,", ",H$6),#REF!,26,0),0)</f>
        <v>0</v>
      </c>
      <c r="I7" s="124">
        <f>IFERROR(VLOOKUP(CONCATENATE($C7,", ",I$6),#REF!,26,0),0)</f>
        <v>0</v>
      </c>
      <c r="J7" s="125">
        <f>IFERROR(VLOOKUP(CONCATENATE($C7,", ",J$6),#REF!,26,0),0)</f>
        <v>0</v>
      </c>
      <c r="K7" s="130">
        <f>IFERROR(VLOOKUP(CONCATENATE($C7,", ",K$6),#REF!,26,0),0)</f>
        <v>0</v>
      </c>
      <c r="L7" s="124">
        <f>IFERROR(VLOOKUP(CONCATENATE($C7,", ",L$6),#REF!,26,0),0)</f>
        <v>0</v>
      </c>
      <c r="M7" s="124">
        <f>IFERROR(VLOOKUP(CONCATENATE($C7,", ",M$6),#REF!,26,0),0)</f>
        <v>0</v>
      </c>
      <c r="N7" s="124">
        <f>IFERROR(VLOOKUP(CONCATENATE($C7,", ",N$6),#REF!,26,0),0)</f>
        <v>0</v>
      </c>
      <c r="O7" s="124">
        <f>IFERROR(VLOOKUP(CONCATENATE($C7,", ",O$6),#REF!,26,0),0)</f>
        <v>0</v>
      </c>
      <c r="P7" s="125">
        <f>IFERROR(VLOOKUP(CONCATENATE($C7,", ",P$6),#REF!,26,0),0)</f>
        <v>0</v>
      </c>
      <c r="Q7" s="198">
        <f>C15+C17+C18+E19+C20+E21</f>
        <v>8400</v>
      </c>
    </row>
    <row r="8" spans="2:17" x14ac:dyDescent="0.2">
      <c r="B8" s="117"/>
      <c r="C8" s="142" t="s">
        <v>55</v>
      </c>
      <c r="D8" s="126">
        <f>IFERROR(VLOOKUP(CONCATENATE($C8,", ",D$6),#REF!,26,0),0)</f>
        <v>0</v>
      </c>
      <c r="E8" s="122">
        <f>IFERROR(VLOOKUP(CONCATENATE($C8,", ",E$6),#REF!,26,0),0)</f>
        <v>0</v>
      </c>
      <c r="F8" s="122">
        <f>IFERROR(VLOOKUP(CONCATENATE($C8,", ",F$6),#REF!,26,0),0)</f>
        <v>0</v>
      </c>
      <c r="G8" s="122">
        <f>IFERROR(VLOOKUP(CONCATENATE($C8,", ",G$6),#REF!,26,0),0)</f>
        <v>0</v>
      </c>
      <c r="H8" s="122">
        <f>IFERROR(VLOOKUP(CONCATENATE($C8,", ",H$6),#REF!,26,0),0)</f>
        <v>0</v>
      </c>
      <c r="I8" s="122">
        <f>IFERROR(VLOOKUP(CONCATENATE($C8,", ",I$6),#REF!,26,0),0)</f>
        <v>0</v>
      </c>
      <c r="J8" s="127">
        <f>IFERROR(VLOOKUP(CONCATENATE($C8,", ",J$6),#REF!,26,0),0)</f>
        <v>0</v>
      </c>
      <c r="K8" s="112">
        <f>IFERROR(VLOOKUP(CONCATENATE($C8,", ",K$6),#REF!,26,0),0)</f>
        <v>0</v>
      </c>
      <c r="L8" s="122">
        <f>IFERROR(VLOOKUP(CONCATENATE($C8,", ",L$6),#REF!,26,0),0)</f>
        <v>0</v>
      </c>
      <c r="M8" s="122">
        <f>IFERROR(VLOOKUP(CONCATENATE($C8,", ",M$6),#REF!,26,0),0)</f>
        <v>0</v>
      </c>
      <c r="N8" s="122">
        <f>IFERROR(VLOOKUP(CONCATENATE($C8,", ",N$6),#REF!,26,0),0)</f>
        <v>0</v>
      </c>
      <c r="O8" s="122">
        <f>IFERROR(VLOOKUP(CONCATENATE($C8,", ",O$6),#REF!,26,0),0)</f>
        <v>0</v>
      </c>
      <c r="P8" s="127">
        <f>IFERROR(VLOOKUP(CONCATENATE($C8,", ",P$6),#REF!,26,0),0)</f>
        <v>0</v>
      </c>
      <c r="Q8" s="199"/>
    </row>
    <row r="9" spans="2:17" ht="13.5" thickBot="1" x14ac:dyDescent="0.25">
      <c r="B9" s="118" t="e">
        <f>VLOOKUP(C9,#REF!,4,0)</f>
        <v>#REF!</v>
      </c>
      <c r="C9" s="143" t="s">
        <v>47</v>
      </c>
      <c r="D9" s="134">
        <f>IFERROR(VLOOKUP(CONCATENATE($C9,", ",D$6),#REF!,26,0),0)</f>
        <v>0</v>
      </c>
      <c r="E9" s="135">
        <f>IFERROR(VLOOKUP(CONCATENATE($C9,", ",E$6),#REF!,26,0),0)</f>
        <v>0</v>
      </c>
      <c r="F9" s="135">
        <f>IFERROR(VLOOKUP(CONCATENATE($C9,", ",F$6),#REF!,26,0),0)</f>
        <v>0</v>
      </c>
      <c r="G9" s="135">
        <f>IFERROR(VLOOKUP(CONCATENATE($C9,", ",G$6),#REF!,26,0),0)</f>
        <v>0</v>
      </c>
      <c r="H9" s="135">
        <f>IFERROR(VLOOKUP(CONCATENATE($C9,", ",H$6),#REF!,26,0),0)</f>
        <v>0</v>
      </c>
      <c r="I9" s="135">
        <f>IFERROR(VLOOKUP(CONCATENATE($C9,", ",I$6),#REF!,26,0),0)</f>
        <v>0</v>
      </c>
      <c r="J9" s="136">
        <f>IFERROR(VLOOKUP(CONCATENATE($C9,", ",J$6),#REF!,26,0),0)</f>
        <v>0</v>
      </c>
      <c r="K9" s="113">
        <f>IFERROR(VLOOKUP(CONCATENATE($C9,", ",K$6),#REF!,26,0),0)</f>
        <v>0</v>
      </c>
      <c r="L9" s="128">
        <f>IFERROR(VLOOKUP(CONCATENATE($C9,", ",L$6),#REF!,26,0),0)</f>
        <v>0</v>
      </c>
      <c r="M9" s="128">
        <f>IFERROR(VLOOKUP(CONCATENATE($C9,", ",M$6),#REF!,26,0),0)</f>
        <v>0</v>
      </c>
      <c r="N9" s="128">
        <f>IFERROR(VLOOKUP(CONCATENATE($C9,", ",N$6),#REF!,26,0),0)</f>
        <v>0</v>
      </c>
      <c r="O9" s="128">
        <f>IFERROR(VLOOKUP(CONCATENATE($C9,", ",O$6),#REF!,26,0),0)</f>
        <v>0</v>
      </c>
      <c r="P9" s="129">
        <f>IFERROR(VLOOKUP(CONCATENATE($C9,", ",P$6),#REF!,26,0),0)</f>
        <v>0</v>
      </c>
      <c r="Q9" s="199"/>
    </row>
    <row r="10" spans="2:17" ht="13.5" thickBot="1" x14ac:dyDescent="0.25">
      <c r="B10" s="137" t="e">
        <f>VLOOKUP(C10,#REF!,4,0)</f>
        <v>#REF!</v>
      </c>
      <c r="C10" s="144"/>
      <c r="D10" s="138">
        <f>IFERROR(VLOOKUP(CONCATENATE($C10,", ",D$6),#REF!,26,0),0)</f>
        <v>0</v>
      </c>
      <c r="E10" s="139">
        <f>IFERROR(VLOOKUP(CONCATENATE($C10,", ",E$6),#REF!,26,0),0)</f>
        <v>0</v>
      </c>
      <c r="F10" s="139">
        <f>IFERROR(VLOOKUP(CONCATENATE($C10,", ",F$6),#REF!,26,0),0)</f>
        <v>0</v>
      </c>
      <c r="G10" s="139">
        <f>IFERROR(VLOOKUP(CONCATENATE($C10,", ",G$6),#REF!,26,0),0)</f>
        <v>0</v>
      </c>
      <c r="H10" s="139">
        <f>IFERROR(VLOOKUP(CONCATENATE($C10,", ",H$6),#REF!,26,0),0)</f>
        <v>0</v>
      </c>
      <c r="I10" s="139">
        <f>IFERROR(VLOOKUP(CONCATENATE($C10,", ",I$6),#REF!,26,0),0)</f>
        <v>0</v>
      </c>
      <c r="J10" s="140">
        <f>IFERROR(VLOOKUP(CONCATENATE($C10,", ",J$6),#REF!,26,0),0)</f>
        <v>0</v>
      </c>
      <c r="K10" s="113">
        <f>IFERROR(VLOOKUP(CONCATENATE($C10,", ",K$6),#REF!,26,0),0)</f>
        <v>0</v>
      </c>
      <c r="L10" s="113">
        <f>IFERROR(VLOOKUP(CONCATENATE($C10,", ",L$6),#REF!,26,0),0)</f>
        <v>0</v>
      </c>
      <c r="M10" s="113">
        <f>IFERROR(VLOOKUP(CONCATENATE($C10,", ",M$6),#REF!,26,0),0)</f>
        <v>0</v>
      </c>
      <c r="N10" s="113">
        <f>IFERROR(VLOOKUP(CONCATENATE($C10,", ",N$6),#REF!,26,0),0)</f>
        <v>0</v>
      </c>
      <c r="O10" s="113">
        <f>IFERROR(VLOOKUP(CONCATENATE($C10,", ",O$6),#REF!,26,0),0)</f>
        <v>0</v>
      </c>
      <c r="P10" s="131">
        <f>IFERROR(VLOOKUP(CONCATENATE($C10,", ",P$6),#REF!,26,0),0)</f>
        <v>0</v>
      </c>
      <c r="Q10" s="200"/>
    </row>
    <row r="15" spans="2:17" x14ac:dyDescent="0.2">
      <c r="B15" s="145" t="s">
        <v>48</v>
      </c>
      <c r="C15" s="146">
        <v>2000</v>
      </c>
      <c r="E15" s="150"/>
    </row>
    <row r="16" spans="2:17" x14ac:dyDescent="0.2">
      <c r="B16" s="145" t="s">
        <v>49</v>
      </c>
      <c r="C16" s="147"/>
      <c r="E16" s="150"/>
    </row>
    <row r="17" spans="2:5" x14ac:dyDescent="0.2">
      <c r="B17" s="148" t="s">
        <v>50</v>
      </c>
      <c r="C17" s="149">
        <v>1000</v>
      </c>
      <c r="E17" s="150"/>
    </row>
    <row r="18" spans="2:5" x14ac:dyDescent="0.2">
      <c r="B18" s="148" t="s">
        <v>51</v>
      </c>
      <c r="C18" s="149">
        <v>1000</v>
      </c>
      <c r="E18" s="150"/>
    </row>
    <row r="19" spans="2:5" x14ac:dyDescent="0.2">
      <c r="B19" s="148" t="s">
        <v>52</v>
      </c>
      <c r="C19" s="149">
        <v>2000</v>
      </c>
      <c r="E19" s="150">
        <f>C19*0.2</f>
        <v>400</v>
      </c>
    </row>
    <row r="20" spans="2:5" x14ac:dyDescent="0.2">
      <c r="B20" s="148" t="s">
        <v>53</v>
      </c>
      <c r="C20" s="149">
        <v>1000</v>
      </c>
      <c r="E20" s="150"/>
    </row>
    <row r="21" spans="2:5" x14ac:dyDescent="0.2">
      <c r="B21" s="148" t="s">
        <v>54</v>
      </c>
      <c r="C21" s="149">
        <v>5000</v>
      </c>
      <c r="E21" s="150">
        <f>IF(C21&gt;=3000,3000,C21)</f>
        <v>3000</v>
      </c>
    </row>
  </sheetData>
  <mergeCells count="6">
    <mergeCell ref="C5:C6"/>
    <mergeCell ref="D5:P5"/>
    <mergeCell ref="Q5:Q6"/>
    <mergeCell ref="Q7:Q10"/>
    <mergeCell ref="B4:Q4"/>
    <mergeCell ref="B5:B6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8">
    <tabColor rgb="FFFFFF0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B29" sqref="B29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0.140625" style="4" customWidth="1"/>
    <col min="4" max="4" width="19.42578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13.42578125" customWidth="1"/>
    <col min="10" max="10" width="0.140625" style="3" customWidth="1"/>
    <col min="11" max="11" width="13.140625" style="4" hidden="1" customWidth="1" outlineLevel="1"/>
    <col min="12" max="12" width="14.5703125" style="4" hidden="1" customWidth="1" outlineLevel="1"/>
    <col min="13" max="13" width="9.140625" style="97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234" t="s">
        <v>66</v>
      </c>
      <c r="I1" s="234"/>
    </row>
    <row r="2" spans="1:29" ht="12.75" customHeight="1" x14ac:dyDescent="0.2">
      <c r="A2" s="2"/>
      <c r="B2" s="50"/>
      <c r="C2" s="50"/>
      <c r="D2" s="50"/>
      <c r="E2" s="109">
        <f>VLOOKUP('Цільовий OLX'!H2,Лист3!A:O,14,FALSE)</f>
        <v>1000</v>
      </c>
      <c r="F2" s="100">
        <f>VLOOKUP(H$2,Лист3!$A:$H,2,0)</f>
        <v>250000</v>
      </c>
      <c r="G2" s="153">
        <f ca="1">TODAY()</f>
        <v>45610</v>
      </c>
      <c r="H2" s="235" t="s">
        <v>79</v>
      </c>
      <c r="I2" s="236"/>
      <c r="J2" s="42"/>
      <c r="M2" s="165"/>
      <c r="N2" s="165"/>
    </row>
    <row r="3" spans="1:29" ht="13.7" customHeight="1" thickBot="1" x14ac:dyDescent="0.25">
      <c r="A3" s="2"/>
      <c r="B3" s="50"/>
      <c r="C3" s="50"/>
      <c r="D3" s="50"/>
      <c r="E3" s="110">
        <f>IF(F5&lt;E2,"x",IF(F5&gt;F2,"y",F5))</f>
        <v>50000</v>
      </c>
      <c r="F3" s="237" t="str">
        <f>IF(E3="x","Збільшіть суму",IF(E3="y","Зменшіть суму",""))</f>
        <v/>
      </c>
      <c r="G3" s="57">
        <f>Назви!B35</f>
        <v>30.4</v>
      </c>
      <c r="H3" s="238" t="str">
        <f>VLOOKUP(H$2,Лист2!$A:$H,8,0)</f>
        <v>max. 250000 грн.</v>
      </c>
      <c r="I3" s="239"/>
      <c r="J3" s="42"/>
    </row>
    <row r="4" spans="1:29" ht="9" customHeight="1" thickBot="1" x14ac:dyDescent="0.25">
      <c r="A4" s="2"/>
      <c r="B4" s="2"/>
      <c r="C4" s="2"/>
      <c r="D4" s="2"/>
      <c r="E4" s="109"/>
      <c r="F4" s="237"/>
      <c r="G4" s="35"/>
      <c r="H4" s="156"/>
      <c r="I4" s="42"/>
      <c r="J4" s="42"/>
      <c r="K4" s="54"/>
    </row>
    <row r="5" spans="1:29" ht="21" customHeight="1" thickBot="1" x14ac:dyDescent="0.25">
      <c r="A5" s="1"/>
      <c r="B5" s="240" t="s">
        <v>68</v>
      </c>
      <c r="C5" s="241"/>
      <c r="D5" s="241"/>
      <c r="E5" s="242"/>
      <c r="F5" s="169">
        <v>50000</v>
      </c>
      <c r="G5" s="167" t="s">
        <v>25</v>
      </c>
      <c r="H5" s="168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customHeight="1" x14ac:dyDescent="0.2">
      <c r="A7" s="1"/>
      <c r="B7" s="228" t="s">
        <v>67</v>
      </c>
      <c r="C7" s="229"/>
      <c r="D7" s="229"/>
      <c r="E7" s="230"/>
      <c r="F7" s="13">
        <f>D89</f>
        <v>50000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228" t="str">
        <f>Назви!A3</f>
        <v>Процентна ставка базова, % річних</v>
      </c>
      <c r="C9" s="229">
        <f>Назви!B3</f>
        <v>0</v>
      </c>
      <c r="D9" s="229">
        <f>Назви!C3</f>
        <v>0</v>
      </c>
      <c r="E9" s="230">
        <f>Назви!D3</f>
        <v>0</v>
      </c>
      <c r="F9" s="32">
        <f>VLOOKUP(H$2,Лист3!$A:$H,4,0)</f>
        <v>0.69989999999999997</v>
      </c>
      <c r="G9" s="218"/>
      <c r="H9" s="218"/>
      <c r="I9" s="3"/>
      <c r="J9" s="43"/>
      <c r="K9" s="54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54"/>
    </row>
    <row r="11" spans="1:29" ht="12.6" customHeight="1" x14ac:dyDescent="0.2">
      <c r="A11" s="1"/>
      <c r="B11" s="228" t="str">
        <f>Назви!A7</f>
        <v>Разовий страховий тариф, %</v>
      </c>
      <c r="C11" s="229">
        <f>Назви!B7</f>
        <v>0</v>
      </c>
      <c r="D11" s="229">
        <f>Назви!C7</f>
        <v>0</v>
      </c>
      <c r="E11" s="230">
        <f>Назви!D7</f>
        <v>0</v>
      </c>
      <c r="F11" s="32">
        <f>VLOOKUP(H$2,Лист3!$A:$H,5,0)</f>
        <v>0</v>
      </c>
      <c r="G11" s="218"/>
      <c r="H11" s="218"/>
      <c r="I11" s="3"/>
      <c r="J11" s="43"/>
      <c r="K11" s="132"/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32"/>
    </row>
    <row r="13" spans="1:29" x14ac:dyDescent="0.2">
      <c r="A13" s="1"/>
      <c r="B13" s="228" t="str">
        <f>Назви!A9</f>
        <v xml:space="preserve">Щомісячна плата за обслуговування кредитної заборгованості, % </v>
      </c>
      <c r="C13" s="229">
        <f>Назви!B9</f>
        <v>0</v>
      </c>
      <c r="D13" s="229">
        <f>Назви!C9</f>
        <v>0</v>
      </c>
      <c r="E13" s="230">
        <f>Назви!D9</f>
        <v>0</v>
      </c>
      <c r="F13" s="32">
        <f>VLOOKUP(H$2,Лист3!$A:$H,6,0)</f>
        <v>0</v>
      </c>
      <c r="G13" s="218"/>
      <c r="H13" s="218"/>
      <c r="I13" s="3"/>
      <c r="J13" s="43"/>
      <c r="K13" s="132"/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32"/>
    </row>
    <row r="15" spans="1:29" x14ac:dyDescent="0.2">
      <c r="A15" s="1"/>
      <c r="B15" s="228" t="str">
        <f>Назви!A11</f>
        <v>Термін кредитування (міс.)</v>
      </c>
      <c r="C15" s="229">
        <f>Назви!B11</f>
        <v>0</v>
      </c>
      <c r="D15" s="229">
        <f>Назви!C11</f>
        <v>0</v>
      </c>
      <c r="E15" s="230">
        <f>Назви!D11</f>
        <v>0</v>
      </c>
      <c r="F15" s="53">
        <f>VLOOKUP(H$2,Лист3!$A:$H,3,0)</f>
        <v>12</v>
      </c>
      <c r="G15" s="218"/>
      <c r="H15" s="218"/>
      <c r="I15" s="3"/>
      <c r="J15" s="43"/>
      <c r="K15" s="132"/>
    </row>
    <row r="16" spans="1:29" s="12" customFormat="1" ht="7.9" customHeight="1" x14ac:dyDescent="0.2">
      <c r="A16" s="1"/>
      <c r="B16" s="10"/>
      <c r="C16" s="48"/>
      <c r="D16" s="94"/>
      <c r="E16" s="151">
        <f>F5*F11</f>
        <v>0</v>
      </c>
      <c r="F16" s="50"/>
      <c r="G16" s="96"/>
      <c r="H16" s="11"/>
      <c r="I16" s="1"/>
      <c r="J16" s="44"/>
      <c r="K16" s="132" t="str">
        <f>Лист2!A11</f>
        <v xml:space="preserve">Цільовий, 60 міс. 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52">
        <f>E16+E3</f>
        <v>50000</v>
      </c>
      <c r="F17" s="50"/>
      <c r="G17" s="96"/>
      <c r="H17" s="11"/>
      <c r="I17" s="1"/>
      <c r="J17" s="99"/>
      <c r="K17" s="132" t="str">
        <f>Лист2!A12</f>
        <v xml:space="preserve">Цільовий, 36 міс. </v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215" t="str">
        <f>Назви!A14</f>
        <v>Орієнтовний платіж, грн.</v>
      </c>
      <c r="C18" s="216">
        <f>Назви!B14</f>
        <v>0</v>
      </c>
      <c r="D18" s="216">
        <f>Назви!C14</f>
        <v>0</v>
      </c>
      <c r="E18" s="217">
        <f>Назви!D14</f>
        <v>0</v>
      </c>
      <c r="F18" s="13">
        <f>PMT(F9/12,F15,-E17)+F13*E17</f>
        <v>5909.2078829461152</v>
      </c>
      <c r="G18" s="231"/>
      <c r="H18" s="232"/>
      <c r="I18" s="105"/>
      <c r="J18" s="44"/>
      <c r="K18" s="132" t="str">
        <f>Лист2!A13</f>
        <v xml:space="preserve">Цільовий, 24 міс. </v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32" t="str">
        <f>Лист2!A14</f>
        <v xml:space="preserve">Цільовий, 12 міс. </v>
      </c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215" t="str">
        <f>Назви!A16</f>
        <v>Орієнтовні загальні витрати за кредитом, грн.</v>
      </c>
      <c r="C20" s="216">
        <f>Назви!B16</f>
        <v>0</v>
      </c>
      <c r="D20" s="216">
        <f>Назви!C16</f>
        <v>0</v>
      </c>
      <c r="E20" s="217">
        <f>Назви!D16</f>
        <v>0</v>
      </c>
      <c r="F20" s="13">
        <f>G89-E3</f>
        <v>20910.49459535339</v>
      </c>
      <c r="G20" s="233"/>
      <c r="H20" s="233"/>
      <c r="I20" s="1"/>
      <c r="J20" s="45"/>
      <c r="K20" s="132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32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215" t="str">
        <f>Назви!A18</f>
        <v>Орієнтовна загальна вартість кредиту, грн.</v>
      </c>
      <c r="C22" s="216">
        <f>Назви!B18</f>
        <v>0</v>
      </c>
      <c r="D22" s="216">
        <f>Назви!C18</f>
        <v>0</v>
      </c>
      <c r="E22" s="217">
        <f>Назви!D18</f>
        <v>0</v>
      </c>
      <c r="F22" s="13">
        <f>F7+F20</f>
        <v>70910.49459535339</v>
      </c>
      <c r="G22" s="218"/>
      <c r="H22" s="218"/>
      <c r="I22" s="1"/>
      <c r="J22" s="45"/>
      <c r="K22" s="132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32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215" t="str">
        <f>Назви!A20</f>
        <v>Реальна річна процентна ставка, %</v>
      </c>
      <c r="C24" s="216"/>
      <c r="D24" s="216"/>
      <c r="E24" s="217"/>
      <c r="F24" s="32">
        <f ca="1">XIRR(G28:G88,C28:C88)</f>
        <v>0.97900177240371677</v>
      </c>
      <c r="G24" s="17"/>
      <c r="H24" s="18"/>
      <c r="I24" s="1"/>
      <c r="J24" s="1"/>
      <c r="K24" s="132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3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219" t="str">
        <f>Назви!A29</f>
        <v>Орієнтовний порядок повернення кредиту</v>
      </c>
      <c r="C26" s="220"/>
      <c r="D26" s="220"/>
      <c r="E26" s="220"/>
      <c r="F26" s="220"/>
      <c r="G26" s="220"/>
      <c r="H26" s="221"/>
      <c r="I26" s="3"/>
      <c r="K26" s="132"/>
    </row>
    <row r="27" spans="1:29" ht="31.15" customHeight="1" thickBot="1" x14ac:dyDescent="0.25">
      <c r="A27" s="1"/>
      <c r="B27" s="154" t="s">
        <v>65</v>
      </c>
      <c r="C27" s="154" t="str">
        <f>Назви!A30</f>
        <v>Місяць</v>
      </c>
      <c r="D27" s="95" t="str">
        <f>Назви!C30</f>
        <v>Погашення суми кредиту, грн.</v>
      </c>
      <c r="E27" s="95" t="str">
        <f>Назви!D30</f>
        <v>Розмір щомісячної плати за обслуговування кредитної заборгованості, грн.</v>
      </c>
      <c r="F27" s="95" t="str">
        <f>Назви!E30</f>
        <v>Проценти за користування кредитом, грн.</v>
      </c>
      <c r="G27" s="222" t="str">
        <f>Назви!F30</f>
        <v>Сума платежу за розрахунковий період, грн.</v>
      </c>
      <c r="H27" s="223"/>
      <c r="I27" s="3"/>
      <c r="K27" s="132"/>
    </row>
    <row r="28" spans="1:29" ht="12.6" hidden="1" customHeight="1" thickBot="1" x14ac:dyDescent="0.25">
      <c r="A28" s="1"/>
      <c r="B28" s="91">
        <v>0</v>
      </c>
      <c r="C28" s="155">
        <f ca="1">TODAY()</f>
        <v>45610</v>
      </c>
      <c r="D28" s="92"/>
      <c r="E28" s="93"/>
      <c r="F28" s="92"/>
      <c r="G28" s="224">
        <f>-1*E3</f>
        <v>-50000</v>
      </c>
      <c r="H28" s="225"/>
      <c r="I28" s="3"/>
      <c r="K28" s="132"/>
    </row>
    <row r="29" spans="1:29" x14ac:dyDescent="0.2">
      <c r="A29" s="1">
        <v>1</v>
      </c>
      <c r="B29" s="178">
        <v>1</v>
      </c>
      <c r="C29" s="175">
        <f ca="1">DATE(YEAR(C28),MONTH(C28)+1,DAY(C28))</f>
        <v>45640</v>
      </c>
      <c r="D29" s="171">
        <f>IFERROR(PPMT($F$9/12,B29,$F$15,-$E$17),0)</f>
        <v>2992.9578829461157</v>
      </c>
      <c r="E29" s="162">
        <v>0</v>
      </c>
      <c r="F29" s="162">
        <f>IFERROR(IPMT($F$9/12,B29,$F$15,-$F$7),0)</f>
        <v>2916.2499999999995</v>
      </c>
      <c r="G29" s="226">
        <f>SUM(D29:F29)</f>
        <v>5909.2078829461152</v>
      </c>
      <c r="H29" s="227"/>
      <c r="I29" s="3"/>
      <c r="K29" s="132"/>
    </row>
    <row r="30" spans="1:29" x14ac:dyDescent="0.2">
      <c r="A30" s="1">
        <v>2</v>
      </c>
      <c r="B30" s="179">
        <v>2</v>
      </c>
      <c r="C30" s="176">
        <f t="shared" ref="C30:C88" ca="1" si="0">DATE(YEAR(C29),MONTH(C29)+1,DAY(C29))</f>
        <v>45671</v>
      </c>
      <c r="D30" s="172">
        <f t="shared" ref="D30:D88" si="1">IFERROR(PPMT($F$9/12,B30,$F$15,-$E$17),0)</f>
        <v>3167.5221514689479</v>
      </c>
      <c r="E30" s="164">
        <v>0</v>
      </c>
      <c r="F30" s="164">
        <f t="shared" ref="F30:F88" si="2">IFERROR(IPMT($F$9/12,B30,$F$15,-$F$7),0)</f>
        <v>2741.6857314771669</v>
      </c>
      <c r="G30" s="211">
        <f t="shared" ref="G30:G88" si="3">SUM(D30:F30)</f>
        <v>5909.2078829461152</v>
      </c>
      <c r="H30" s="212"/>
      <c r="I30" s="3"/>
      <c r="K30" s="132"/>
    </row>
    <row r="31" spans="1:29" x14ac:dyDescent="0.2">
      <c r="A31" s="1">
        <v>3</v>
      </c>
      <c r="B31" s="179">
        <v>3</v>
      </c>
      <c r="C31" s="176">
        <f t="shared" ca="1" si="0"/>
        <v>45702</v>
      </c>
      <c r="D31" s="172">
        <f t="shared" si="1"/>
        <v>3352.2678809533741</v>
      </c>
      <c r="E31" s="164">
        <v>0</v>
      </c>
      <c r="F31" s="164">
        <f t="shared" si="2"/>
        <v>2556.9400019927416</v>
      </c>
      <c r="G31" s="211">
        <f t="shared" si="3"/>
        <v>5909.2078829461152</v>
      </c>
      <c r="H31" s="212"/>
      <c r="I31" s="3"/>
      <c r="K31" s="132"/>
    </row>
    <row r="32" spans="1:29" x14ac:dyDescent="0.2">
      <c r="A32" s="1">
        <v>4</v>
      </c>
      <c r="B32" s="179">
        <v>4</v>
      </c>
      <c r="C32" s="176">
        <f t="shared" ca="1" si="0"/>
        <v>45730</v>
      </c>
      <c r="D32" s="172">
        <f t="shared" si="1"/>
        <v>3547.7889051099801</v>
      </c>
      <c r="E32" s="164">
        <v>0</v>
      </c>
      <c r="F32" s="164">
        <f t="shared" si="2"/>
        <v>2361.418977836136</v>
      </c>
      <c r="G32" s="211">
        <f t="shared" si="3"/>
        <v>5909.2078829461161</v>
      </c>
      <c r="H32" s="212"/>
      <c r="I32" s="3"/>
      <c r="K32" s="132"/>
    </row>
    <row r="33" spans="1:11" x14ac:dyDescent="0.2">
      <c r="A33" s="1">
        <v>5</v>
      </c>
      <c r="B33" s="179">
        <v>5</v>
      </c>
      <c r="C33" s="176">
        <f t="shared" ca="1" si="0"/>
        <v>45761</v>
      </c>
      <c r="D33" s="172">
        <f t="shared" si="1"/>
        <v>3754.7136930005195</v>
      </c>
      <c r="E33" s="164">
        <v>0</v>
      </c>
      <c r="F33" s="164">
        <f t="shared" si="2"/>
        <v>2154.4941899455962</v>
      </c>
      <c r="G33" s="211">
        <f t="shared" si="3"/>
        <v>5909.2078829461152</v>
      </c>
      <c r="H33" s="212"/>
      <c r="I33" s="3"/>
      <c r="K33" s="132"/>
    </row>
    <row r="34" spans="1:11" x14ac:dyDescent="0.2">
      <c r="A34" s="1">
        <v>6</v>
      </c>
      <c r="B34" s="179">
        <v>6</v>
      </c>
      <c r="C34" s="176">
        <f t="shared" ca="1" si="0"/>
        <v>45791</v>
      </c>
      <c r="D34" s="172">
        <f t="shared" si="1"/>
        <v>3973.7073691447745</v>
      </c>
      <c r="E34" s="164">
        <v>0</v>
      </c>
      <c r="F34" s="164">
        <f t="shared" si="2"/>
        <v>1935.5005138013407</v>
      </c>
      <c r="G34" s="211">
        <f t="shared" si="3"/>
        <v>5909.2078829461152</v>
      </c>
      <c r="H34" s="212"/>
      <c r="I34" s="3"/>
      <c r="K34" s="132"/>
    </row>
    <row r="35" spans="1:11" x14ac:dyDescent="0.2">
      <c r="A35" s="1">
        <v>7</v>
      </c>
      <c r="B35" s="179">
        <v>7</v>
      </c>
      <c r="C35" s="176">
        <f t="shared" ca="1" si="0"/>
        <v>45822</v>
      </c>
      <c r="D35" s="172">
        <f t="shared" si="1"/>
        <v>4205.4738514501432</v>
      </c>
      <c r="E35" s="164">
        <v>0</v>
      </c>
      <c r="F35" s="164">
        <f t="shared" si="2"/>
        <v>1703.7340314959717</v>
      </c>
      <c r="G35" s="211">
        <f t="shared" si="3"/>
        <v>5909.2078829461152</v>
      </c>
      <c r="H35" s="212"/>
      <c r="I35" s="3"/>
      <c r="K35" s="132"/>
    </row>
    <row r="36" spans="1:11" x14ac:dyDescent="0.2">
      <c r="A36" s="1">
        <v>8</v>
      </c>
      <c r="B36" s="179">
        <v>8</v>
      </c>
      <c r="C36" s="176">
        <f t="shared" ca="1" si="0"/>
        <v>45852</v>
      </c>
      <c r="D36" s="172">
        <f t="shared" si="1"/>
        <v>4450.7581138359737</v>
      </c>
      <c r="E36" s="164">
        <v>0</v>
      </c>
      <c r="F36" s="164">
        <f t="shared" si="2"/>
        <v>1458.4497691101424</v>
      </c>
      <c r="G36" s="211">
        <f t="shared" si="3"/>
        <v>5909.2078829461161</v>
      </c>
      <c r="H36" s="212"/>
      <c r="I36" s="3"/>
      <c r="K36" s="132"/>
    </row>
    <row r="37" spans="1:11" x14ac:dyDescent="0.2">
      <c r="A37" s="1">
        <v>9</v>
      </c>
      <c r="B37" s="179">
        <v>9</v>
      </c>
      <c r="C37" s="176">
        <f t="shared" ca="1" si="0"/>
        <v>45883</v>
      </c>
      <c r="D37" s="172">
        <f t="shared" si="1"/>
        <v>4710.3485808254563</v>
      </c>
      <c r="E37" s="164">
        <v>0</v>
      </c>
      <c r="F37" s="164">
        <f t="shared" si="2"/>
        <v>1198.8593021206593</v>
      </c>
      <c r="G37" s="211">
        <f t="shared" si="3"/>
        <v>5909.2078829461152</v>
      </c>
      <c r="H37" s="212"/>
      <c r="I37" s="3"/>
      <c r="K37" s="132"/>
    </row>
    <row r="38" spans="1:11" x14ac:dyDescent="0.2">
      <c r="A38" s="1">
        <v>10</v>
      </c>
      <c r="B38" s="179">
        <v>10</v>
      </c>
      <c r="C38" s="176">
        <f t="shared" ca="1" si="0"/>
        <v>45914</v>
      </c>
      <c r="D38" s="172">
        <f t="shared" si="1"/>
        <v>4985.0796618021004</v>
      </c>
      <c r="E38" s="164">
        <v>0</v>
      </c>
      <c r="F38" s="164">
        <f t="shared" si="2"/>
        <v>924.12822114401456</v>
      </c>
      <c r="G38" s="211">
        <f t="shared" si="3"/>
        <v>5909.2078829461152</v>
      </c>
      <c r="H38" s="212"/>
      <c r="I38" s="3"/>
      <c r="K38" s="132"/>
    </row>
    <row r="39" spans="1:11" x14ac:dyDescent="0.2">
      <c r="A39" s="1">
        <v>22</v>
      </c>
      <c r="B39" s="179">
        <v>11</v>
      </c>
      <c r="C39" s="176">
        <f t="shared" ca="1" si="0"/>
        <v>45944</v>
      </c>
      <c r="D39" s="172">
        <f t="shared" si="1"/>
        <v>5275.8344330767077</v>
      </c>
      <c r="E39" s="164">
        <v>0</v>
      </c>
      <c r="F39" s="164">
        <f t="shared" si="2"/>
        <v>633.37344986940695</v>
      </c>
      <c r="G39" s="211">
        <f t="shared" si="3"/>
        <v>5909.2078829461143</v>
      </c>
      <c r="H39" s="212"/>
      <c r="I39" s="3"/>
      <c r="K39" s="132"/>
    </row>
    <row r="40" spans="1:11" x14ac:dyDescent="0.2">
      <c r="A40" s="1">
        <v>22</v>
      </c>
      <c r="B40" s="179">
        <v>12</v>
      </c>
      <c r="C40" s="176">
        <f t="shared" ca="1" si="0"/>
        <v>45975</v>
      </c>
      <c r="D40" s="172">
        <f t="shared" si="1"/>
        <v>5583.5474763859074</v>
      </c>
      <c r="E40" s="164">
        <v>0</v>
      </c>
      <c r="F40" s="164">
        <f t="shared" si="2"/>
        <v>325.660406560208</v>
      </c>
      <c r="G40" s="211">
        <f t="shared" si="3"/>
        <v>5909.2078829461152</v>
      </c>
      <c r="H40" s="212"/>
      <c r="I40" s="3"/>
      <c r="K40" s="132"/>
    </row>
    <row r="41" spans="1:11" x14ac:dyDescent="0.2">
      <c r="A41" s="1">
        <v>13</v>
      </c>
      <c r="B41" s="179">
        <v>13</v>
      </c>
      <c r="C41" s="176">
        <f t="shared" ca="1" si="0"/>
        <v>46005</v>
      </c>
      <c r="D41" s="172">
        <f t="shared" si="1"/>
        <v>0</v>
      </c>
      <c r="E41" s="164">
        <v>0</v>
      </c>
      <c r="F41" s="164">
        <f t="shared" si="2"/>
        <v>0</v>
      </c>
      <c r="G41" s="211">
        <f t="shared" si="3"/>
        <v>0</v>
      </c>
      <c r="H41" s="212"/>
      <c r="I41" s="3"/>
      <c r="K41" s="132"/>
    </row>
    <row r="42" spans="1:11" x14ac:dyDescent="0.2">
      <c r="A42" s="1">
        <v>14</v>
      </c>
      <c r="B42" s="179">
        <v>14</v>
      </c>
      <c r="C42" s="176">
        <f t="shared" ca="1" si="0"/>
        <v>46036</v>
      </c>
      <c r="D42" s="172">
        <f t="shared" si="1"/>
        <v>0</v>
      </c>
      <c r="E42" s="164">
        <v>0</v>
      </c>
      <c r="F42" s="164">
        <f t="shared" si="2"/>
        <v>0</v>
      </c>
      <c r="G42" s="211">
        <f t="shared" si="3"/>
        <v>0</v>
      </c>
      <c r="H42" s="212"/>
      <c r="I42" s="3"/>
      <c r="K42" s="132"/>
    </row>
    <row r="43" spans="1:11" x14ac:dyDescent="0.2">
      <c r="A43" s="1">
        <v>15</v>
      </c>
      <c r="B43" s="179">
        <v>15</v>
      </c>
      <c r="C43" s="176">
        <f t="shared" ca="1" si="0"/>
        <v>46067</v>
      </c>
      <c r="D43" s="172">
        <f t="shared" si="1"/>
        <v>0</v>
      </c>
      <c r="E43" s="164">
        <v>0</v>
      </c>
      <c r="F43" s="164">
        <f t="shared" si="2"/>
        <v>0</v>
      </c>
      <c r="G43" s="211">
        <f t="shared" si="3"/>
        <v>0</v>
      </c>
      <c r="H43" s="212"/>
      <c r="I43" s="3"/>
      <c r="K43" s="132"/>
    </row>
    <row r="44" spans="1:11" x14ac:dyDescent="0.2">
      <c r="A44" s="1">
        <v>16</v>
      </c>
      <c r="B44" s="179">
        <v>16</v>
      </c>
      <c r="C44" s="176">
        <f t="shared" ca="1" si="0"/>
        <v>46095</v>
      </c>
      <c r="D44" s="172">
        <f t="shared" si="1"/>
        <v>0</v>
      </c>
      <c r="E44" s="164">
        <v>0</v>
      </c>
      <c r="F44" s="164">
        <f t="shared" si="2"/>
        <v>0</v>
      </c>
      <c r="G44" s="211">
        <f t="shared" si="3"/>
        <v>0</v>
      </c>
      <c r="H44" s="212"/>
      <c r="I44" s="3"/>
      <c r="K44" s="132"/>
    </row>
    <row r="45" spans="1:11" x14ac:dyDescent="0.2">
      <c r="A45" s="1">
        <v>22</v>
      </c>
      <c r="B45" s="179">
        <v>17</v>
      </c>
      <c r="C45" s="176">
        <f t="shared" ca="1" si="0"/>
        <v>46126</v>
      </c>
      <c r="D45" s="172">
        <f t="shared" si="1"/>
        <v>0</v>
      </c>
      <c r="E45" s="164">
        <v>0</v>
      </c>
      <c r="F45" s="164">
        <f t="shared" si="2"/>
        <v>0</v>
      </c>
      <c r="G45" s="211">
        <f t="shared" si="3"/>
        <v>0</v>
      </c>
      <c r="H45" s="212"/>
      <c r="I45" s="3"/>
      <c r="K45" s="132"/>
    </row>
    <row r="46" spans="1:11" x14ac:dyDescent="0.2">
      <c r="A46" s="1">
        <v>22</v>
      </c>
      <c r="B46" s="179">
        <v>18</v>
      </c>
      <c r="C46" s="176">
        <f t="shared" ca="1" si="0"/>
        <v>46156</v>
      </c>
      <c r="D46" s="172">
        <f t="shared" si="1"/>
        <v>0</v>
      </c>
      <c r="E46" s="164">
        <v>0</v>
      </c>
      <c r="F46" s="164">
        <f t="shared" si="2"/>
        <v>0</v>
      </c>
      <c r="G46" s="211">
        <f t="shared" si="3"/>
        <v>0</v>
      </c>
      <c r="H46" s="212"/>
      <c r="I46" s="3"/>
      <c r="K46" s="132"/>
    </row>
    <row r="47" spans="1:11" x14ac:dyDescent="0.2">
      <c r="A47" s="1">
        <v>19</v>
      </c>
      <c r="B47" s="179">
        <v>19</v>
      </c>
      <c r="C47" s="176">
        <f t="shared" ca="1" si="0"/>
        <v>46187</v>
      </c>
      <c r="D47" s="172">
        <f t="shared" si="1"/>
        <v>0</v>
      </c>
      <c r="E47" s="164">
        <v>0</v>
      </c>
      <c r="F47" s="164">
        <f t="shared" si="2"/>
        <v>0</v>
      </c>
      <c r="G47" s="211">
        <f t="shared" si="3"/>
        <v>0</v>
      </c>
      <c r="H47" s="212"/>
      <c r="I47" s="3"/>
      <c r="K47" s="132"/>
    </row>
    <row r="48" spans="1:11" x14ac:dyDescent="0.2">
      <c r="A48" s="1">
        <v>20</v>
      </c>
      <c r="B48" s="179">
        <v>20</v>
      </c>
      <c r="C48" s="176">
        <f t="shared" ca="1" si="0"/>
        <v>46217</v>
      </c>
      <c r="D48" s="172">
        <f t="shared" si="1"/>
        <v>0</v>
      </c>
      <c r="E48" s="164">
        <v>0</v>
      </c>
      <c r="F48" s="164">
        <f t="shared" si="2"/>
        <v>0</v>
      </c>
      <c r="G48" s="211">
        <f t="shared" si="3"/>
        <v>0</v>
      </c>
      <c r="H48" s="212"/>
      <c r="I48" s="3"/>
      <c r="K48" s="132"/>
    </row>
    <row r="49" spans="1:11" x14ac:dyDescent="0.2">
      <c r="A49" s="49">
        <v>21</v>
      </c>
      <c r="B49" s="179">
        <v>21</v>
      </c>
      <c r="C49" s="176">
        <f t="shared" ca="1" si="0"/>
        <v>46248</v>
      </c>
      <c r="D49" s="172">
        <f t="shared" si="1"/>
        <v>0</v>
      </c>
      <c r="E49" s="164">
        <v>0</v>
      </c>
      <c r="F49" s="164">
        <f t="shared" si="2"/>
        <v>0</v>
      </c>
      <c r="G49" s="211">
        <f t="shared" si="3"/>
        <v>0</v>
      </c>
      <c r="H49" s="212"/>
      <c r="I49" s="3"/>
      <c r="K49" s="132"/>
    </row>
    <row r="50" spans="1:11" x14ac:dyDescent="0.2">
      <c r="A50" s="49">
        <v>22</v>
      </c>
      <c r="B50" s="179">
        <v>22</v>
      </c>
      <c r="C50" s="176">
        <f t="shared" ca="1" si="0"/>
        <v>46279</v>
      </c>
      <c r="D50" s="172">
        <f t="shared" si="1"/>
        <v>0</v>
      </c>
      <c r="E50" s="164">
        <v>0</v>
      </c>
      <c r="F50" s="164">
        <f t="shared" si="2"/>
        <v>0</v>
      </c>
      <c r="G50" s="211">
        <f t="shared" si="3"/>
        <v>0</v>
      </c>
      <c r="H50" s="212"/>
      <c r="I50" s="3"/>
    </row>
    <row r="51" spans="1:11" x14ac:dyDescent="0.2">
      <c r="A51" s="49">
        <v>25</v>
      </c>
      <c r="B51" s="179">
        <v>23</v>
      </c>
      <c r="C51" s="176">
        <f t="shared" ca="1" si="0"/>
        <v>46309</v>
      </c>
      <c r="D51" s="172">
        <f t="shared" si="1"/>
        <v>0</v>
      </c>
      <c r="E51" s="164">
        <v>0</v>
      </c>
      <c r="F51" s="164">
        <f t="shared" si="2"/>
        <v>0</v>
      </c>
      <c r="G51" s="211">
        <f t="shared" si="3"/>
        <v>0</v>
      </c>
      <c r="H51" s="212"/>
      <c r="I51" s="3"/>
    </row>
    <row r="52" spans="1:11" x14ac:dyDescent="0.2">
      <c r="A52" s="49"/>
      <c r="B52" s="179">
        <v>24</v>
      </c>
      <c r="C52" s="176">
        <f t="shared" ca="1" si="0"/>
        <v>46340</v>
      </c>
      <c r="D52" s="172">
        <f t="shared" si="1"/>
        <v>0</v>
      </c>
      <c r="E52" s="164">
        <v>0</v>
      </c>
      <c r="F52" s="164">
        <f t="shared" si="2"/>
        <v>0</v>
      </c>
      <c r="G52" s="211">
        <f t="shared" si="3"/>
        <v>0</v>
      </c>
      <c r="H52" s="212"/>
      <c r="I52" s="3"/>
    </row>
    <row r="53" spans="1:11" x14ac:dyDescent="0.2">
      <c r="A53" s="49"/>
      <c r="B53" s="179">
        <v>25</v>
      </c>
      <c r="C53" s="176">
        <f t="shared" ca="1" si="0"/>
        <v>46370</v>
      </c>
      <c r="D53" s="172">
        <f t="shared" si="1"/>
        <v>0</v>
      </c>
      <c r="E53" s="164">
        <v>0</v>
      </c>
      <c r="F53" s="164">
        <f t="shared" si="2"/>
        <v>0</v>
      </c>
      <c r="G53" s="211">
        <f t="shared" si="3"/>
        <v>0</v>
      </c>
      <c r="H53" s="212"/>
      <c r="I53" s="3"/>
    </row>
    <row r="54" spans="1:11" x14ac:dyDescent="0.2">
      <c r="A54" s="49"/>
      <c r="B54" s="179">
        <v>26</v>
      </c>
      <c r="C54" s="176">
        <f t="shared" ca="1" si="0"/>
        <v>46401</v>
      </c>
      <c r="D54" s="172">
        <f t="shared" si="1"/>
        <v>0</v>
      </c>
      <c r="E54" s="164">
        <v>0</v>
      </c>
      <c r="F54" s="164">
        <f t="shared" si="2"/>
        <v>0</v>
      </c>
      <c r="G54" s="211">
        <f t="shared" si="3"/>
        <v>0</v>
      </c>
      <c r="H54" s="212"/>
      <c r="I54" s="3"/>
    </row>
    <row r="55" spans="1:11" x14ac:dyDescent="0.2">
      <c r="A55" s="49"/>
      <c r="B55" s="179">
        <v>27</v>
      </c>
      <c r="C55" s="176">
        <f t="shared" ca="1" si="0"/>
        <v>46432</v>
      </c>
      <c r="D55" s="172">
        <f t="shared" si="1"/>
        <v>0</v>
      </c>
      <c r="E55" s="164">
        <v>0</v>
      </c>
      <c r="F55" s="164">
        <f t="shared" si="2"/>
        <v>0</v>
      </c>
      <c r="G55" s="211">
        <f t="shared" si="3"/>
        <v>0</v>
      </c>
      <c r="H55" s="212"/>
      <c r="I55" s="3"/>
    </row>
    <row r="56" spans="1:11" x14ac:dyDescent="0.2">
      <c r="A56" s="49"/>
      <c r="B56" s="179">
        <v>28</v>
      </c>
      <c r="C56" s="176">
        <f t="shared" ca="1" si="0"/>
        <v>46460</v>
      </c>
      <c r="D56" s="172">
        <f t="shared" si="1"/>
        <v>0</v>
      </c>
      <c r="E56" s="164">
        <v>0</v>
      </c>
      <c r="F56" s="164">
        <f t="shared" si="2"/>
        <v>0</v>
      </c>
      <c r="G56" s="211">
        <f t="shared" si="3"/>
        <v>0</v>
      </c>
      <c r="H56" s="212"/>
      <c r="I56" s="3"/>
    </row>
    <row r="57" spans="1:11" x14ac:dyDescent="0.2">
      <c r="A57" s="49"/>
      <c r="B57" s="179">
        <v>29</v>
      </c>
      <c r="C57" s="176">
        <f t="shared" ca="1" si="0"/>
        <v>46491</v>
      </c>
      <c r="D57" s="172">
        <f t="shared" si="1"/>
        <v>0</v>
      </c>
      <c r="E57" s="164">
        <v>0</v>
      </c>
      <c r="F57" s="164">
        <f t="shared" si="2"/>
        <v>0</v>
      </c>
      <c r="G57" s="211">
        <f t="shared" si="3"/>
        <v>0</v>
      </c>
      <c r="H57" s="212"/>
      <c r="I57" s="3"/>
    </row>
    <row r="58" spans="1:11" x14ac:dyDescent="0.2">
      <c r="A58" s="49">
        <v>25</v>
      </c>
      <c r="B58" s="179">
        <v>30</v>
      </c>
      <c r="C58" s="176">
        <f t="shared" ca="1" si="0"/>
        <v>46521</v>
      </c>
      <c r="D58" s="172">
        <f t="shared" si="1"/>
        <v>0</v>
      </c>
      <c r="E58" s="164">
        <v>0</v>
      </c>
      <c r="F58" s="164">
        <f t="shared" si="2"/>
        <v>0</v>
      </c>
      <c r="G58" s="211">
        <f t="shared" si="3"/>
        <v>0</v>
      </c>
      <c r="H58" s="212"/>
      <c r="I58" s="106"/>
      <c r="J58" s="106"/>
    </row>
    <row r="59" spans="1:11" x14ac:dyDescent="0.2">
      <c r="A59" s="49"/>
      <c r="B59" s="179">
        <v>31</v>
      </c>
      <c r="C59" s="176">
        <f t="shared" ca="1" si="0"/>
        <v>46552</v>
      </c>
      <c r="D59" s="172">
        <f t="shared" si="1"/>
        <v>0</v>
      </c>
      <c r="E59" s="164">
        <v>0</v>
      </c>
      <c r="F59" s="164">
        <f t="shared" si="2"/>
        <v>0</v>
      </c>
      <c r="G59" s="211">
        <f t="shared" si="3"/>
        <v>0</v>
      </c>
      <c r="H59" s="212"/>
      <c r="I59" s="106"/>
      <c r="J59" s="106"/>
    </row>
    <row r="60" spans="1:11" x14ac:dyDescent="0.2">
      <c r="A60" s="49"/>
      <c r="B60" s="179">
        <v>32</v>
      </c>
      <c r="C60" s="176">
        <f t="shared" ca="1" si="0"/>
        <v>46582</v>
      </c>
      <c r="D60" s="172">
        <f t="shared" si="1"/>
        <v>0</v>
      </c>
      <c r="E60" s="164">
        <v>0</v>
      </c>
      <c r="F60" s="164">
        <f t="shared" si="2"/>
        <v>0</v>
      </c>
      <c r="G60" s="211">
        <f t="shared" si="3"/>
        <v>0</v>
      </c>
      <c r="H60" s="212"/>
      <c r="I60" s="106"/>
      <c r="J60" s="106"/>
    </row>
    <row r="61" spans="1:11" x14ac:dyDescent="0.2">
      <c r="A61" s="49"/>
      <c r="B61" s="179">
        <v>33</v>
      </c>
      <c r="C61" s="176">
        <f t="shared" ca="1" si="0"/>
        <v>46613</v>
      </c>
      <c r="D61" s="172">
        <f t="shared" si="1"/>
        <v>0</v>
      </c>
      <c r="E61" s="164">
        <v>0</v>
      </c>
      <c r="F61" s="164">
        <f t="shared" si="2"/>
        <v>0</v>
      </c>
      <c r="G61" s="211">
        <f t="shared" si="3"/>
        <v>0</v>
      </c>
      <c r="H61" s="212"/>
      <c r="I61" s="106"/>
      <c r="J61" s="106"/>
    </row>
    <row r="62" spans="1:11" x14ac:dyDescent="0.2">
      <c r="A62" s="49"/>
      <c r="B62" s="179">
        <v>34</v>
      </c>
      <c r="C62" s="176">
        <f t="shared" ca="1" si="0"/>
        <v>46644</v>
      </c>
      <c r="D62" s="172">
        <f t="shared" si="1"/>
        <v>0</v>
      </c>
      <c r="E62" s="164">
        <v>0</v>
      </c>
      <c r="F62" s="164">
        <f t="shared" si="2"/>
        <v>0</v>
      </c>
      <c r="G62" s="211">
        <f t="shared" si="3"/>
        <v>0</v>
      </c>
      <c r="H62" s="212"/>
      <c r="I62" s="106"/>
      <c r="J62" s="106"/>
    </row>
    <row r="63" spans="1:11" x14ac:dyDescent="0.2">
      <c r="A63" s="49"/>
      <c r="B63" s="179">
        <v>35</v>
      </c>
      <c r="C63" s="176">
        <f t="shared" ca="1" si="0"/>
        <v>46674</v>
      </c>
      <c r="D63" s="172">
        <f t="shared" si="1"/>
        <v>0</v>
      </c>
      <c r="E63" s="164">
        <v>0</v>
      </c>
      <c r="F63" s="164">
        <f t="shared" si="2"/>
        <v>0</v>
      </c>
      <c r="G63" s="211">
        <f t="shared" si="3"/>
        <v>0</v>
      </c>
      <c r="H63" s="212"/>
      <c r="I63" s="106"/>
      <c r="J63" s="106"/>
    </row>
    <row r="64" spans="1:11" x14ac:dyDescent="0.2">
      <c r="A64" s="49"/>
      <c r="B64" s="179">
        <v>36</v>
      </c>
      <c r="C64" s="176">
        <f t="shared" ca="1" si="0"/>
        <v>46705</v>
      </c>
      <c r="D64" s="172">
        <f t="shared" si="1"/>
        <v>0</v>
      </c>
      <c r="E64" s="164">
        <v>0</v>
      </c>
      <c r="F64" s="164">
        <f t="shared" si="2"/>
        <v>0</v>
      </c>
      <c r="G64" s="211">
        <f t="shared" si="3"/>
        <v>0</v>
      </c>
      <c r="H64" s="212"/>
      <c r="I64" s="106"/>
      <c r="J64" s="106"/>
    </row>
    <row r="65" spans="1:10" x14ac:dyDescent="0.2">
      <c r="A65" s="49"/>
      <c r="B65" s="179">
        <v>37</v>
      </c>
      <c r="C65" s="176">
        <f t="shared" ca="1" si="0"/>
        <v>46735</v>
      </c>
      <c r="D65" s="172">
        <f t="shared" si="1"/>
        <v>0</v>
      </c>
      <c r="E65" s="164">
        <v>0</v>
      </c>
      <c r="F65" s="164">
        <f t="shared" si="2"/>
        <v>0</v>
      </c>
      <c r="G65" s="211">
        <f t="shared" si="3"/>
        <v>0</v>
      </c>
      <c r="H65" s="212"/>
      <c r="I65" s="106"/>
      <c r="J65" s="106"/>
    </row>
    <row r="66" spans="1:10" x14ac:dyDescent="0.2">
      <c r="A66" s="49"/>
      <c r="B66" s="179">
        <v>38</v>
      </c>
      <c r="C66" s="176">
        <f t="shared" ca="1" si="0"/>
        <v>46766</v>
      </c>
      <c r="D66" s="172">
        <f t="shared" si="1"/>
        <v>0</v>
      </c>
      <c r="E66" s="164">
        <v>0</v>
      </c>
      <c r="F66" s="164">
        <f t="shared" si="2"/>
        <v>0</v>
      </c>
      <c r="G66" s="211">
        <f t="shared" si="3"/>
        <v>0</v>
      </c>
      <c r="H66" s="212"/>
      <c r="I66" s="106"/>
      <c r="J66" s="106"/>
    </row>
    <row r="67" spans="1:10" x14ac:dyDescent="0.2">
      <c r="A67" s="49"/>
      <c r="B67" s="179">
        <v>39</v>
      </c>
      <c r="C67" s="176">
        <f t="shared" ca="1" si="0"/>
        <v>46797</v>
      </c>
      <c r="D67" s="172">
        <f t="shared" si="1"/>
        <v>0</v>
      </c>
      <c r="E67" s="164">
        <v>0</v>
      </c>
      <c r="F67" s="164">
        <f t="shared" si="2"/>
        <v>0</v>
      </c>
      <c r="G67" s="211">
        <f t="shared" si="3"/>
        <v>0</v>
      </c>
      <c r="H67" s="212"/>
      <c r="I67" s="106"/>
      <c r="J67" s="106"/>
    </row>
    <row r="68" spans="1:10" x14ac:dyDescent="0.2">
      <c r="A68" s="49"/>
      <c r="B68" s="179">
        <v>40</v>
      </c>
      <c r="C68" s="176">
        <f t="shared" ca="1" si="0"/>
        <v>46826</v>
      </c>
      <c r="D68" s="172">
        <f t="shared" si="1"/>
        <v>0</v>
      </c>
      <c r="E68" s="164">
        <v>0</v>
      </c>
      <c r="F68" s="164">
        <f t="shared" si="2"/>
        <v>0</v>
      </c>
      <c r="G68" s="211">
        <f t="shared" si="3"/>
        <v>0</v>
      </c>
      <c r="H68" s="212"/>
      <c r="I68" s="106"/>
      <c r="J68" s="106"/>
    </row>
    <row r="69" spans="1:10" x14ac:dyDescent="0.2">
      <c r="A69" s="49"/>
      <c r="B69" s="179">
        <v>41</v>
      </c>
      <c r="C69" s="176">
        <f t="shared" ca="1" si="0"/>
        <v>46857</v>
      </c>
      <c r="D69" s="172">
        <f t="shared" si="1"/>
        <v>0</v>
      </c>
      <c r="E69" s="164">
        <v>0</v>
      </c>
      <c r="F69" s="164">
        <f t="shared" si="2"/>
        <v>0</v>
      </c>
      <c r="G69" s="211">
        <f t="shared" si="3"/>
        <v>0</v>
      </c>
      <c r="H69" s="212"/>
      <c r="I69" s="106"/>
      <c r="J69" s="106"/>
    </row>
    <row r="70" spans="1:10" x14ac:dyDescent="0.2">
      <c r="A70" s="49"/>
      <c r="B70" s="179">
        <v>42</v>
      </c>
      <c r="C70" s="176">
        <f t="shared" ca="1" si="0"/>
        <v>46887</v>
      </c>
      <c r="D70" s="172">
        <f t="shared" si="1"/>
        <v>0</v>
      </c>
      <c r="E70" s="164">
        <v>0</v>
      </c>
      <c r="F70" s="164">
        <f t="shared" si="2"/>
        <v>0</v>
      </c>
      <c r="G70" s="211">
        <f t="shared" si="3"/>
        <v>0</v>
      </c>
      <c r="H70" s="212"/>
      <c r="I70" s="106"/>
      <c r="J70" s="106"/>
    </row>
    <row r="71" spans="1:10" x14ac:dyDescent="0.2">
      <c r="A71" s="49"/>
      <c r="B71" s="179">
        <v>43</v>
      </c>
      <c r="C71" s="176">
        <f t="shared" ca="1" si="0"/>
        <v>46918</v>
      </c>
      <c r="D71" s="172">
        <f t="shared" si="1"/>
        <v>0</v>
      </c>
      <c r="E71" s="164">
        <v>0</v>
      </c>
      <c r="F71" s="164">
        <f t="shared" si="2"/>
        <v>0</v>
      </c>
      <c r="G71" s="211">
        <f t="shared" si="3"/>
        <v>0</v>
      </c>
      <c r="H71" s="212"/>
      <c r="I71" s="106"/>
      <c r="J71" s="106"/>
    </row>
    <row r="72" spans="1:10" x14ac:dyDescent="0.2">
      <c r="A72" s="49"/>
      <c r="B72" s="179">
        <v>44</v>
      </c>
      <c r="C72" s="176">
        <f t="shared" ca="1" si="0"/>
        <v>46948</v>
      </c>
      <c r="D72" s="172">
        <f t="shared" si="1"/>
        <v>0</v>
      </c>
      <c r="E72" s="164">
        <v>0</v>
      </c>
      <c r="F72" s="164">
        <f t="shared" si="2"/>
        <v>0</v>
      </c>
      <c r="G72" s="211">
        <f t="shared" si="3"/>
        <v>0</v>
      </c>
      <c r="H72" s="212"/>
      <c r="I72" s="106"/>
      <c r="J72" s="106"/>
    </row>
    <row r="73" spans="1:10" x14ac:dyDescent="0.2">
      <c r="A73" s="49"/>
      <c r="B73" s="179">
        <v>45</v>
      </c>
      <c r="C73" s="176">
        <f t="shared" ca="1" si="0"/>
        <v>46979</v>
      </c>
      <c r="D73" s="172">
        <f t="shared" si="1"/>
        <v>0</v>
      </c>
      <c r="E73" s="164">
        <v>0</v>
      </c>
      <c r="F73" s="164">
        <f t="shared" si="2"/>
        <v>0</v>
      </c>
      <c r="G73" s="211">
        <f t="shared" si="3"/>
        <v>0</v>
      </c>
      <c r="H73" s="212"/>
      <c r="I73" s="106"/>
      <c r="J73" s="106"/>
    </row>
    <row r="74" spans="1:10" x14ac:dyDescent="0.2">
      <c r="A74" s="49"/>
      <c r="B74" s="179">
        <v>46</v>
      </c>
      <c r="C74" s="176">
        <f t="shared" ca="1" si="0"/>
        <v>47010</v>
      </c>
      <c r="D74" s="172">
        <f t="shared" si="1"/>
        <v>0</v>
      </c>
      <c r="E74" s="164">
        <v>0</v>
      </c>
      <c r="F74" s="164">
        <f t="shared" si="2"/>
        <v>0</v>
      </c>
      <c r="G74" s="211">
        <f t="shared" si="3"/>
        <v>0</v>
      </c>
      <c r="H74" s="212"/>
      <c r="I74" s="106"/>
      <c r="J74" s="106"/>
    </row>
    <row r="75" spans="1:10" x14ac:dyDescent="0.2">
      <c r="A75" s="49"/>
      <c r="B75" s="179">
        <v>47</v>
      </c>
      <c r="C75" s="176">
        <f t="shared" ca="1" si="0"/>
        <v>47040</v>
      </c>
      <c r="D75" s="172">
        <f t="shared" si="1"/>
        <v>0</v>
      </c>
      <c r="E75" s="164">
        <v>0</v>
      </c>
      <c r="F75" s="164">
        <f t="shared" si="2"/>
        <v>0</v>
      </c>
      <c r="G75" s="211">
        <f t="shared" si="3"/>
        <v>0</v>
      </c>
      <c r="H75" s="212"/>
      <c r="I75" s="106"/>
      <c r="J75" s="106"/>
    </row>
    <row r="76" spans="1:10" x14ac:dyDescent="0.2">
      <c r="A76" s="49"/>
      <c r="B76" s="179">
        <v>48</v>
      </c>
      <c r="C76" s="176">
        <f t="shared" ca="1" si="0"/>
        <v>47071</v>
      </c>
      <c r="D76" s="172">
        <f t="shared" si="1"/>
        <v>0</v>
      </c>
      <c r="E76" s="164">
        <v>0</v>
      </c>
      <c r="F76" s="164">
        <f t="shared" si="2"/>
        <v>0</v>
      </c>
      <c r="G76" s="211">
        <f t="shared" si="3"/>
        <v>0</v>
      </c>
      <c r="H76" s="212"/>
      <c r="I76" s="106"/>
      <c r="J76" s="106"/>
    </row>
    <row r="77" spans="1:10" x14ac:dyDescent="0.2">
      <c r="A77" s="49"/>
      <c r="B77" s="179">
        <v>49</v>
      </c>
      <c r="C77" s="176">
        <f t="shared" ca="1" si="0"/>
        <v>47101</v>
      </c>
      <c r="D77" s="172">
        <f t="shared" si="1"/>
        <v>0</v>
      </c>
      <c r="E77" s="164">
        <v>0</v>
      </c>
      <c r="F77" s="164">
        <f t="shared" si="2"/>
        <v>0</v>
      </c>
      <c r="G77" s="211">
        <f t="shared" si="3"/>
        <v>0</v>
      </c>
      <c r="H77" s="212"/>
      <c r="I77" s="106"/>
      <c r="J77" s="106"/>
    </row>
    <row r="78" spans="1:10" x14ac:dyDescent="0.2">
      <c r="A78" s="49"/>
      <c r="B78" s="179">
        <v>50</v>
      </c>
      <c r="C78" s="176">
        <f t="shared" ca="1" si="0"/>
        <v>47132</v>
      </c>
      <c r="D78" s="172">
        <f t="shared" si="1"/>
        <v>0</v>
      </c>
      <c r="E78" s="164">
        <v>0</v>
      </c>
      <c r="F78" s="164">
        <f t="shared" si="2"/>
        <v>0</v>
      </c>
      <c r="G78" s="211">
        <f t="shared" si="3"/>
        <v>0</v>
      </c>
      <c r="H78" s="212"/>
      <c r="I78" s="106"/>
      <c r="J78" s="106"/>
    </row>
    <row r="79" spans="1:10" x14ac:dyDescent="0.2">
      <c r="A79" s="49"/>
      <c r="B79" s="179">
        <v>51</v>
      </c>
      <c r="C79" s="176">
        <f t="shared" ca="1" si="0"/>
        <v>47163</v>
      </c>
      <c r="D79" s="172">
        <f t="shared" si="1"/>
        <v>0</v>
      </c>
      <c r="E79" s="164">
        <v>0</v>
      </c>
      <c r="F79" s="164">
        <f t="shared" si="2"/>
        <v>0</v>
      </c>
      <c r="G79" s="211">
        <f t="shared" si="3"/>
        <v>0</v>
      </c>
      <c r="H79" s="212"/>
      <c r="I79" s="106"/>
      <c r="J79" s="106"/>
    </row>
    <row r="80" spans="1:10" x14ac:dyDescent="0.2">
      <c r="A80" s="49"/>
      <c r="B80" s="179">
        <v>52</v>
      </c>
      <c r="C80" s="176">
        <f t="shared" ca="1" si="0"/>
        <v>47191</v>
      </c>
      <c r="D80" s="172">
        <f t="shared" si="1"/>
        <v>0</v>
      </c>
      <c r="E80" s="164">
        <v>0</v>
      </c>
      <c r="F80" s="164">
        <f t="shared" si="2"/>
        <v>0</v>
      </c>
      <c r="G80" s="211">
        <f t="shared" si="3"/>
        <v>0</v>
      </c>
      <c r="H80" s="212"/>
      <c r="I80" s="106"/>
      <c r="J80" s="106"/>
    </row>
    <row r="81" spans="1:10" x14ac:dyDescent="0.2">
      <c r="A81" s="49"/>
      <c r="B81" s="179">
        <v>53</v>
      </c>
      <c r="C81" s="176">
        <f t="shared" ca="1" si="0"/>
        <v>47222</v>
      </c>
      <c r="D81" s="172">
        <f t="shared" si="1"/>
        <v>0</v>
      </c>
      <c r="E81" s="164">
        <v>0</v>
      </c>
      <c r="F81" s="164">
        <f t="shared" si="2"/>
        <v>0</v>
      </c>
      <c r="G81" s="211">
        <f t="shared" si="3"/>
        <v>0</v>
      </c>
      <c r="H81" s="212"/>
      <c r="I81" s="106"/>
      <c r="J81" s="106"/>
    </row>
    <row r="82" spans="1:10" x14ac:dyDescent="0.2">
      <c r="A82" s="49"/>
      <c r="B82" s="179">
        <v>54</v>
      </c>
      <c r="C82" s="176">
        <f t="shared" ca="1" si="0"/>
        <v>47252</v>
      </c>
      <c r="D82" s="172">
        <f t="shared" si="1"/>
        <v>0</v>
      </c>
      <c r="E82" s="164">
        <v>0</v>
      </c>
      <c r="F82" s="164">
        <f t="shared" si="2"/>
        <v>0</v>
      </c>
      <c r="G82" s="211">
        <f t="shared" si="3"/>
        <v>0</v>
      </c>
      <c r="H82" s="212"/>
      <c r="I82" s="106"/>
      <c r="J82" s="106"/>
    </row>
    <row r="83" spans="1:10" x14ac:dyDescent="0.2">
      <c r="A83" s="49"/>
      <c r="B83" s="179">
        <v>55</v>
      </c>
      <c r="C83" s="176">
        <f t="shared" ca="1" si="0"/>
        <v>47283</v>
      </c>
      <c r="D83" s="172">
        <f t="shared" si="1"/>
        <v>0</v>
      </c>
      <c r="E83" s="164">
        <v>0</v>
      </c>
      <c r="F83" s="164">
        <f t="shared" si="2"/>
        <v>0</v>
      </c>
      <c r="G83" s="211">
        <f t="shared" si="3"/>
        <v>0</v>
      </c>
      <c r="H83" s="212"/>
      <c r="I83" s="106"/>
      <c r="J83" s="106"/>
    </row>
    <row r="84" spans="1:10" x14ac:dyDescent="0.2">
      <c r="A84" s="49"/>
      <c r="B84" s="179">
        <v>56</v>
      </c>
      <c r="C84" s="176">
        <f t="shared" ca="1" si="0"/>
        <v>47313</v>
      </c>
      <c r="D84" s="172">
        <f t="shared" si="1"/>
        <v>0</v>
      </c>
      <c r="E84" s="164">
        <v>0</v>
      </c>
      <c r="F84" s="164">
        <f t="shared" si="2"/>
        <v>0</v>
      </c>
      <c r="G84" s="211">
        <f t="shared" si="3"/>
        <v>0</v>
      </c>
      <c r="H84" s="212"/>
      <c r="I84" s="106"/>
      <c r="J84" s="106"/>
    </row>
    <row r="85" spans="1:10" x14ac:dyDescent="0.2">
      <c r="A85" s="49"/>
      <c r="B85" s="179">
        <v>57</v>
      </c>
      <c r="C85" s="176">
        <f t="shared" ca="1" si="0"/>
        <v>47344</v>
      </c>
      <c r="D85" s="172">
        <f t="shared" si="1"/>
        <v>0</v>
      </c>
      <c r="E85" s="164">
        <v>0</v>
      </c>
      <c r="F85" s="164">
        <f t="shared" si="2"/>
        <v>0</v>
      </c>
      <c r="G85" s="211">
        <f t="shared" si="3"/>
        <v>0</v>
      </c>
      <c r="H85" s="212"/>
      <c r="I85" s="106"/>
      <c r="J85" s="106"/>
    </row>
    <row r="86" spans="1:10" x14ac:dyDescent="0.2">
      <c r="A86" s="49"/>
      <c r="B86" s="179">
        <v>58</v>
      </c>
      <c r="C86" s="176">
        <f t="shared" ca="1" si="0"/>
        <v>47375</v>
      </c>
      <c r="D86" s="172">
        <f t="shared" si="1"/>
        <v>0</v>
      </c>
      <c r="E86" s="164">
        <v>0</v>
      </c>
      <c r="F86" s="164">
        <f t="shared" si="2"/>
        <v>0</v>
      </c>
      <c r="G86" s="211">
        <f t="shared" si="3"/>
        <v>0</v>
      </c>
      <c r="H86" s="212"/>
      <c r="I86" s="106"/>
      <c r="J86" s="106"/>
    </row>
    <row r="87" spans="1:10" x14ac:dyDescent="0.2">
      <c r="A87" s="49"/>
      <c r="B87" s="179">
        <v>59</v>
      </c>
      <c r="C87" s="176">
        <f t="shared" ca="1" si="0"/>
        <v>47405</v>
      </c>
      <c r="D87" s="172">
        <f t="shared" si="1"/>
        <v>0</v>
      </c>
      <c r="E87" s="164">
        <v>0</v>
      </c>
      <c r="F87" s="164">
        <f t="shared" si="2"/>
        <v>0</v>
      </c>
      <c r="G87" s="211">
        <f t="shared" si="3"/>
        <v>0</v>
      </c>
      <c r="H87" s="212"/>
      <c r="I87" s="106"/>
      <c r="J87" s="106"/>
    </row>
    <row r="88" spans="1:10" ht="13.5" thickBot="1" x14ac:dyDescent="0.25">
      <c r="A88" s="49"/>
      <c r="B88" s="180">
        <v>60</v>
      </c>
      <c r="C88" s="177">
        <f t="shared" ca="1" si="0"/>
        <v>47436</v>
      </c>
      <c r="D88" s="173">
        <f t="shared" si="1"/>
        <v>0</v>
      </c>
      <c r="E88" s="174">
        <v>0</v>
      </c>
      <c r="F88" s="174">
        <f t="shared" si="2"/>
        <v>0</v>
      </c>
      <c r="G88" s="213">
        <f t="shared" si="3"/>
        <v>0</v>
      </c>
      <c r="H88" s="214"/>
      <c r="I88" s="106"/>
      <c r="J88" s="106"/>
    </row>
    <row r="89" spans="1:10" ht="16.5" thickBot="1" x14ac:dyDescent="0.25">
      <c r="A89" s="49"/>
      <c r="B89" s="206" t="s">
        <v>3</v>
      </c>
      <c r="C89" s="207"/>
      <c r="D89" s="170">
        <f>SUM(D29:D88)</f>
        <v>50000</v>
      </c>
      <c r="E89" s="170">
        <f>SUM(E29:E88)</f>
        <v>0</v>
      </c>
      <c r="F89" s="170">
        <f>SUM(F29:F88)</f>
        <v>20910.494595353379</v>
      </c>
      <c r="G89" s="208">
        <f>SUM(G29:H88)</f>
        <v>70910.49459535339</v>
      </c>
      <c r="H89" s="209"/>
      <c r="I89" s="106"/>
      <c r="J89" s="106"/>
    </row>
    <row r="90" spans="1:10" x14ac:dyDescent="0.2">
      <c r="A90" s="49"/>
      <c r="B90" s="2"/>
      <c r="C90" s="2"/>
      <c r="D90" s="2"/>
      <c r="E90" s="2"/>
      <c r="F90" s="2"/>
      <c r="G90" s="35"/>
      <c r="I90" s="106"/>
      <c r="J90" s="106"/>
    </row>
    <row r="91" spans="1:10" x14ac:dyDescent="0.2">
      <c r="A91" s="49"/>
      <c r="B91" s="2"/>
      <c r="C91" s="27"/>
      <c r="D91" s="28"/>
      <c r="E91" s="210" t="s">
        <v>5</v>
      </c>
      <c r="F91" s="210"/>
      <c r="G91" s="210"/>
      <c r="I91" s="106"/>
      <c r="J91" s="106"/>
    </row>
    <row r="92" spans="1:10" x14ac:dyDescent="0.2">
      <c r="A92" s="49"/>
      <c r="B92" s="2"/>
      <c r="C92" s="29"/>
      <c r="D92" s="2"/>
      <c r="E92" s="30" t="s">
        <v>6</v>
      </c>
      <c r="F92" s="31"/>
      <c r="G92" s="40"/>
      <c r="I92" s="106"/>
      <c r="J92" s="106"/>
    </row>
    <row r="93" spans="1:10" x14ac:dyDescent="0.2">
      <c r="A93" s="49"/>
      <c r="B93" s="50"/>
      <c r="C93" s="50"/>
      <c r="D93" s="50"/>
      <c r="E93" s="50"/>
      <c r="F93" s="50"/>
      <c r="G93" s="107"/>
      <c r="H93" s="51"/>
      <c r="I93" s="106"/>
      <c r="J93" s="106"/>
    </row>
    <row r="94" spans="1:10" x14ac:dyDescent="0.2">
      <c r="A94" s="49"/>
      <c r="B94" s="50"/>
      <c r="C94" s="50"/>
      <c r="D94" s="50"/>
      <c r="E94" s="50"/>
      <c r="F94" s="50"/>
      <c r="G94" s="107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7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7"/>
      <c r="H96" s="51"/>
      <c r="I96" s="52"/>
    </row>
  </sheetData>
  <sheetProtection selectLockedCells="1"/>
  <dataConsolidate/>
  <mergeCells count="87">
    <mergeCell ref="B7:E7"/>
    <mergeCell ref="H1:I1"/>
    <mergeCell ref="H2:I2"/>
    <mergeCell ref="F3:F4"/>
    <mergeCell ref="H3:I3"/>
    <mergeCell ref="B5:E5"/>
    <mergeCell ref="B9:E9"/>
    <mergeCell ref="G9:H9"/>
    <mergeCell ref="B11:E11"/>
    <mergeCell ref="G11:H11"/>
    <mergeCell ref="B13:E13"/>
    <mergeCell ref="G13:H13"/>
    <mergeCell ref="B15:E15"/>
    <mergeCell ref="G15:H15"/>
    <mergeCell ref="B18:E18"/>
    <mergeCell ref="G18:H18"/>
    <mergeCell ref="B20:E20"/>
    <mergeCell ref="G20:H20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</mergeCells>
  <dataValidations count="1">
    <dataValidation type="list" showInputMessage="1" showErrorMessage="1" sqref="H2:I2" xr:uid="{00000000-0002-0000-0500-000000000000}">
      <formula1>$K$16:$K$19</formula1>
    </dataValidation>
  </dataValidations>
  <pageMargins left="0.39370078740157483" right="0.35433070866141736" top="0.59055118110236227" bottom="0.59055118110236227" header="0.51181102362204722" footer="0.51181102362204722"/>
  <pageSetup paperSize="9" scale="67" firstPageNumber="2" orientation="portrait" verticalDpi="300" r:id="rId1"/>
  <headerFooter alignWithMargins="0"/>
  <rowBreaks count="1" manualBreakCount="1">
    <brk id="89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>
    <tabColor rgb="FF00B0F0"/>
    <pageSetUpPr fitToPage="1"/>
  </sheetPr>
  <dimension ref="A1:AC98"/>
  <sheetViews>
    <sheetView view="pageBreakPreview" zoomScaleNormal="70" zoomScaleSheetLayoutView="100" workbookViewId="0">
      <pane ySplit="4" topLeftCell="A5" activePane="bottomLeft" state="frozen"/>
      <selection activeCell="F4" sqref="F4"/>
      <selection pane="bottomLeft" activeCell="F5" sqref="F5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0.140625" style="4" customWidth="1"/>
    <col min="4" max="4" width="19.42578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13.42578125" customWidth="1"/>
    <col min="10" max="10" width="0.140625" style="3" customWidth="1"/>
    <col min="11" max="11" width="34.140625" style="4" hidden="1" customWidth="1" outlineLevel="1"/>
    <col min="12" max="12" width="29.7109375" style="4" hidden="1" customWidth="1" outlineLevel="1"/>
    <col min="13" max="13" width="18.7109375" style="97" customWidth="1" collapsed="1"/>
    <col min="14" max="14" width="17.140625" style="97" customWidth="1"/>
    <col min="15" max="29" width="9.140625" style="97"/>
    <col min="30" max="16384" width="9.140625" style="4"/>
  </cols>
  <sheetData>
    <row r="1" spans="1:14" ht="19.899999999999999" customHeight="1" thickBot="1" x14ac:dyDescent="0.25">
      <c r="A1" s="49"/>
      <c r="B1" s="50"/>
      <c r="C1" s="50"/>
      <c r="D1" s="50"/>
      <c r="E1" s="99"/>
      <c r="F1" s="99"/>
      <c r="G1" s="89"/>
      <c r="H1" s="234" t="s">
        <v>66</v>
      </c>
      <c r="I1" s="234"/>
    </row>
    <row r="2" spans="1:14" ht="12.75" customHeight="1" x14ac:dyDescent="0.2">
      <c r="A2" s="2"/>
      <c r="B2" s="50"/>
      <c r="C2" s="50"/>
      <c r="D2" s="50"/>
      <c r="E2" s="109">
        <f>VLOOKUP('Цільовий OLX_-20%'!H2,Лист3!A:O,14,FALSE)</f>
        <v>1000</v>
      </c>
      <c r="F2" s="100">
        <f>VLOOKUP(H$2,Лист2!$A:$H,2,0)</f>
        <v>250000</v>
      </c>
      <c r="G2" s="153">
        <f ca="1">TODAY()</f>
        <v>45610</v>
      </c>
      <c r="H2" s="235" t="s">
        <v>79</v>
      </c>
      <c r="I2" s="236"/>
      <c r="J2" s="42"/>
      <c r="M2" s="165"/>
      <c r="N2" s="165"/>
    </row>
    <row r="3" spans="1:14" ht="13.7" customHeight="1" thickBot="1" x14ac:dyDescent="0.25">
      <c r="A3" s="2"/>
      <c r="B3" s="50"/>
      <c r="C3" s="50"/>
      <c r="D3" s="50"/>
      <c r="E3" s="110">
        <f>IF(F5&lt;E2,"x",IF(F5&gt;F2,"y",F5))</f>
        <v>50000</v>
      </c>
      <c r="F3" s="237" t="str">
        <f>IF(E3="x","Збільшіть суму",IF(E3="y","Зменшіть суму",""))</f>
        <v/>
      </c>
      <c r="G3" s="57">
        <f>Назви!B35</f>
        <v>30.4</v>
      </c>
      <c r="H3" s="238" t="str">
        <f>VLOOKUP(H$2,Лист2!$A:$H,8,0)</f>
        <v>max. 250000 грн.</v>
      </c>
      <c r="I3" s="239"/>
      <c r="J3" s="42"/>
    </row>
    <row r="4" spans="1:14" ht="9" customHeight="1" thickBot="1" x14ac:dyDescent="0.25">
      <c r="A4" s="2"/>
      <c r="B4" s="2"/>
      <c r="C4" s="2"/>
      <c r="D4" s="2"/>
      <c r="E4" s="109"/>
      <c r="F4" s="237"/>
      <c r="G4" s="35"/>
      <c r="H4" s="156"/>
      <c r="I4" s="42"/>
      <c r="J4" s="42"/>
      <c r="K4" s="54"/>
    </row>
    <row r="5" spans="1:14" ht="21" customHeight="1" thickBot="1" x14ac:dyDescent="0.25">
      <c r="A5" s="1"/>
      <c r="B5" s="240" t="s">
        <v>68</v>
      </c>
      <c r="C5" s="241"/>
      <c r="D5" s="241"/>
      <c r="E5" s="242"/>
      <c r="F5" s="169">
        <v>50000</v>
      </c>
      <c r="G5" s="167" t="s">
        <v>25</v>
      </c>
      <c r="H5" s="168"/>
      <c r="I5" s="3"/>
      <c r="J5" s="43"/>
      <c r="K5" s="54"/>
    </row>
    <row r="6" spans="1:14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14" ht="13.9" customHeight="1" x14ac:dyDescent="0.2">
      <c r="A7" s="1"/>
      <c r="B7" s="228" t="s">
        <v>67</v>
      </c>
      <c r="C7" s="229"/>
      <c r="D7" s="229"/>
      <c r="E7" s="230"/>
      <c r="F7" s="13">
        <f>E19</f>
        <v>50000</v>
      </c>
      <c r="G7" s="36"/>
      <c r="H7" s="35"/>
      <c r="I7" s="2"/>
      <c r="J7" s="44"/>
      <c r="K7" s="54"/>
    </row>
    <row r="8" spans="1:14" x14ac:dyDescent="0.2">
      <c r="A8" s="1"/>
      <c r="B8" s="5"/>
      <c r="C8" s="2"/>
      <c r="D8" s="5"/>
      <c r="E8" s="2"/>
      <c r="F8" s="152">
        <f>F7-D31</f>
        <v>47007.042117053883</v>
      </c>
      <c r="G8" s="36"/>
      <c r="H8" s="35"/>
      <c r="I8" s="2"/>
      <c r="J8" s="44"/>
      <c r="K8" s="54"/>
    </row>
    <row r="9" spans="1:14" x14ac:dyDescent="0.2">
      <c r="A9" s="1"/>
      <c r="B9" s="228" t="str">
        <f>Назви!A3</f>
        <v>Процентна ставка базова, % річних</v>
      </c>
      <c r="C9" s="229">
        <f>Назви!B3</f>
        <v>0</v>
      </c>
      <c r="D9" s="229">
        <f>Назви!C3</f>
        <v>0</v>
      </c>
      <c r="E9" s="230">
        <f>Назви!D3</f>
        <v>0</v>
      </c>
      <c r="F9" s="32">
        <f>VLOOKUP(H$2,Лист2!$A:$H,4,0)</f>
        <v>0.69989999999999997</v>
      </c>
      <c r="G9" s="218"/>
      <c r="H9" s="218"/>
      <c r="I9" s="3"/>
      <c r="J9" s="43"/>
      <c r="K9" s="54"/>
    </row>
    <row r="10" spans="1:14" x14ac:dyDescent="0.2">
      <c r="A10" s="1"/>
      <c r="B10" s="1"/>
      <c r="C10" s="1"/>
      <c r="D10" s="1"/>
      <c r="E10" s="1"/>
      <c r="F10" s="1"/>
      <c r="G10" s="158"/>
      <c r="H10" s="158"/>
      <c r="I10" s="3"/>
      <c r="J10" s="43"/>
      <c r="K10" s="54"/>
    </row>
    <row r="11" spans="1:14" x14ac:dyDescent="0.2">
      <c r="A11" s="1"/>
      <c r="B11" s="228" t="str">
        <f>Назви!A5</f>
        <v>Процентна ставка знижена, % річних</v>
      </c>
      <c r="C11" s="229">
        <f>Назви!B7</f>
        <v>0</v>
      </c>
      <c r="D11" s="229">
        <f>Назви!C7</f>
        <v>0</v>
      </c>
      <c r="E11" s="230">
        <f>Назви!D7</f>
        <v>0</v>
      </c>
      <c r="F11" s="32">
        <f>VLOOKUP(H$2,Лист2!$A:$H,5,0)</f>
        <v>0.49989999999999996</v>
      </c>
      <c r="G11" s="158"/>
      <c r="H11" s="158"/>
      <c r="I11" s="3"/>
      <c r="J11" s="43"/>
      <c r="K11" s="54"/>
    </row>
    <row r="12" spans="1:14" x14ac:dyDescent="0.2">
      <c r="A12" s="1"/>
      <c r="B12" s="5"/>
      <c r="C12" s="2"/>
      <c r="D12" s="5"/>
      <c r="E12" s="2"/>
      <c r="F12" s="90">
        <v>1.0000000000000001E-5</v>
      </c>
      <c r="G12" s="36"/>
      <c r="H12" s="35"/>
      <c r="I12" s="2"/>
      <c r="J12" s="44"/>
      <c r="K12" s="54"/>
    </row>
    <row r="13" spans="1:14" ht="12.6" customHeight="1" x14ac:dyDescent="0.2">
      <c r="A13" s="1"/>
      <c r="B13" s="228" t="str">
        <f>Назви!A7</f>
        <v>Разовий страховий тариф, %</v>
      </c>
      <c r="C13" s="229">
        <f>Назви!B7</f>
        <v>0</v>
      </c>
      <c r="D13" s="229">
        <f>Назви!C7</f>
        <v>0</v>
      </c>
      <c r="E13" s="230">
        <f>Назви!D7</f>
        <v>0</v>
      </c>
      <c r="F13" s="32">
        <f>VLOOKUP(H$2,Лист2!$A:$H,6,0)</f>
        <v>0</v>
      </c>
      <c r="G13" s="218"/>
      <c r="H13" s="218"/>
      <c r="I13" s="3"/>
      <c r="J13" s="43"/>
      <c r="K13" s="132"/>
    </row>
    <row r="14" spans="1:14" ht="6.6" customHeight="1" x14ac:dyDescent="0.2">
      <c r="A14" s="1"/>
      <c r="B14" s="5"/>
      <c r="C14" s="2"/>
      <c r="D14" s="5"/>
      <c r="E14" s="2"/>
      <c r="F14" s="37"/>
      <c r="G14" s="36"/>
      <c r="H14" s="35"/>
      <c r="I14" s="2"/>
      <c r="J14" s="44"/>
      <c r="K14" s="132"/>
    </row>
    <row r="15" spans="1:14" x14ac:dyDescent="0.2">
      <c r="A15" s="1"/>
      <c r="B15" s="228" t="str">
        <f>Назви!A9</f>
        <v xml:space="preserve">Щомісячна плата за обслуговування кредитної заборгованості, % </v>
      </c>
      <c r="C15" s="229">
        <f>Назви!B9</f>
        <v>0</v>
      </c>
      <c r="D15" s="229">
        <f>Назви!C9</f>
        <v>0</v>
      </c>
      <c r="E15" s="230">
        <f>Назви!D9</f>
        <v>0</v>
      </c>
      <c r="F15" s="32">
        <f>VLOOKUP(H$2,Лист2!$A:$H,7,0)</f>
        <v>0</v>
      </c>
      <c r="G15" s="218"/>
      <c r="H15" s="218"/>
      <c r="I15" s="3"/>
      <c r="J15" s="43"/>
      <c r="K15" s="132"/>
    </row>
    <row r="16" spans="1:14" ht="6.75" customHeight="1" x14ac:dyDescent="0.2">
      <c r="A16" s="1"/>
      <c r="B16" s="5"/>
      <c r="C16" s="2"/>
      <c r="D16" s="5"/>
      <c r="E16" s="2"/>
      <c r="F16" s="9"/>
      <c r="G16" s="36"/>
      <c r="H16" s="35"/>
      <c r="I16" s="2"/>
      <c r="J16" s="44"/>
      <c r="K16" s="132"/>
    </row>
    <row r="17" spans="1:29" x14ac:dyDescent="0.2">
      <c r="A17" s="1"/>
      <c r="B17" s="228" t="str">
        <f>Назви!A11</f>
        <v>Термін кредитування (міс.)</v>
      </c>
      <c r="C17" s="229">
        <f>Назви!B11</f>
        <v>0</v>
      </c>
      <c r="D17" s="229">
        <f>Назви!C11</f>
        <v>0</v>
      </c>
      <c r="E17" s="230">
        <f>Назви!D11</f>
        <v>0</v>
      </c>
      <c r="F17" s="53">
        <f>VLOOKUP(H$2,Лист2!$A:$H,3,0)</f>
        <v>12</v>
      </c>
      <c r="G17" s="218"/>
      <c r="H17" s="218"/>
      <c r="I17" s="3"/>
      <c r="J17" s="43"/>
      <c r="K17" s="132"/>
    </row>
    <row r="18" spans="1:29" s="12" customFormat="1" ht="7.9" customHeight="1" x14ac:dyDescent="0.2">
      <c r="A18" s="1"/>
      <c r="B18" s="10"/>
      <c r="C18" s="48"/>
      <c r="D18" s="94"/>
      <c r="E18" s="151">
        <f>F5*F13</f>
        <v>0</v>
      </c>
      <c r="F18" s="50"/>
      <c r="G18" s="96"/>
      <c r="H18" s="11"/>
      <c r="I18" s="1"/>
      <c r="J18" s="44"/>
      <c r="K18" s="132" t="str">
        <f>Лист2!A4</f>
        <v xml:space="preserve">Цільовий, 60 міс. </v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11.25" customHeight="1" x14ac:dyDescent="0.2">
      <c r="A19" s="1"/>
      <c r="B19" s="10"/>
      <c r="C19" s="48"/>
      <c r="D19" s="94"/>
      <c r="E19" s="152">
        <f>E18+E3</f>
        <v>50000</v>
      </c>
      <c r="F19" s="50"/>
      <c r="G19" s="96"/>
      <c r="H19" s="11"/>
      <c r="I19" s="1"/>
      <c r="J19" s="99"/>
      <c r="K19" s="132" t="str">
        <f>Лист2!A5</f>
        <v xml:space="preserve">Цільовий, 36 міс. </v>
      </c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215" t="str">
        <f>Назви!A14</f>
        <v>Орієнтовний платіж, грн.</v>
      </c>
      <c r="C20" s="216">
        <f>Назви!B14</f>
        <v>0</v>
      </c>
      <c r="D20" s="216">
        <f>Назви!C14</f>
        <v>0</v>
      </c>
      <c r="E20" s="217">
        <f>Назви!D14</f>
        <v>0</v>
      </c>
      <c r="F20" s="13">
        <f>PMT(F9/12,F17,-E19)+F15*E19</f>
        <v>5909.2078829461152</v>
      </c>
      <c r="G20" s="231"/>
      <c r="H20" s="232"/>
      <c r="I20" s="105"/>
      <c r="J20" s="44"/>
      <c r="K20" s="132" t="str">
        <f>Лист2!A6</f>
        <v xml:space="preserve">Цільовий, 24 міс. </v>
      </c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5"/>
      <c r="C21" s="15"/>
      <c r="D21" s="15"/>
      <c r="E21" s="15"/>
      <c r="F21" s="16"/>
      <c r="G21" s="17"/>
      <c r="H21" s="18"/>
      <c r="I21" s="1"/>
      <c r="J21" s="45"/>
      <c r="K21" s="132" t="str">
        <f>Лист2!A7</f>
        <v xml:space="preserve">Цільовий, 12 міс. </v>
      </c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215" t="str">
        <f>Назви!A16</f>
        <v>Орієнтовні загальні витрати за кредитом, грн.</v>
      </c>
      <c r="C22" s="216">
        <f>Назви!B16</f>
        <v>0</v>
      </c>
      <c r="D22" s="216">
        <f>Назви!C16</f>
        <v>0</v>
      </c>
      <c r="E22" s="217">
        <f>Назви!D16</f>
        <v>0</v>
      </c>
      <c r="F22" s="13">
        <f>F91-E3</f>
        <v>15462.199963723753</v>
      </c>
      <c r="G22" s="233"/>
      <c r="H22" s="233"/>
      <c r="I22" s="1"/>
      <c r="J22" s="45"/>
      <c r="K22" s="132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9"/>
      <c r="C23" s="19"/>
      <c r="D23" s="19"/>
      <c r="E23" s="19"/>
      <c r="F23" s="20"/>
      <c r="G23" s="17"/>
      <c r="H23" s="18"/>
      <c r="I23" s="1"/>
      <c r="J23" s="45"/>
      <c r="K23" s="132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215" t="str">
        <f>Назви!A18</f>
        <v>Орієнтовна загальна вартість кредиту, грн.</v>
      </c>
      <c r="C24" s="216">
        <f>Назви!B18</f>
        <v>0</v>
      </c>
      <c r="D24" s="216">
        <f>Назви!C18</f>
        <v>0</v>
      </c>
      <c r="E24" s="217">
        <f>Назви!D18</f>
        <v>0</v>
      </c>
      <c r="F24" s="13">
        <f>F7+F22</f>
        <v>65462.199963723753</v>
      </c>
      <c r="G24" s="218"/>
      <c r="H24" s="218"/>
      <c r="I24" s="1"/>
      <c r="J24" s="45"/>
      <c r="K24" s="132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7.15" customHeight="1" x14ac:dyDescent="0.2">
      <c r="A25" s="1"/>
      <c r="B25" s="15"/>
      <c r="C25" s="15"/>
      <c r="D25" s="15"/>
      <c r="E25" s="15"/>
      <c r="F25" s="9"/>
      <c r="G25" s="17"/>
      <c r="H25" s="18"/>
      <c r="I25" s="1"/>
      <c r="J25" s="1"/>
      <c r="K25" s="132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s="12" customFormat="1" x14ac:dyDescent="0.2">
      <c r="A26" s="1"/>
      <c r="B26" s="215" t="str">
        <f>Назви!A20</f>
        <v>Реальна річна процентна ставка, %</v>
      </c>
      <c r="C26" s="216"/>
      <c r="D26" s="216"/>
      <c r="E26" s="217"/>
      <c r="F26" s="32">
        <f ca="1">XIRR(F30:F90,C30:C90)</f>
        <v>0.68799330592155461</v>
      </c>
      <c r="G26" s="17"/>
      <c r="H26" s="18"/>
      <c r="I26" s="1"/>
      <c r="J26" s="1"/>
      <c r="K26" s="132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</row>
    <row r="27" spans="1:29" s="12" customFormat="1" ht="13.5" thickBot="1" x14ac:dyDescent="0.25">
      <c r="A27" s="1"/>
      <c r="B27" s="24"/>
      <c r="C27" s="15"/>
      <c r="D27" s="103"/>
      <c r="E27" s="25"/>
      <c r="F27" s="26"/>
      <c r="G27" s="18"/>
      <c r="H27" s="17"/>
      <c r="I27" s="1"/>
      <c r="J27" s="1"/>
      <c r="K27" s="132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</row>
    <row r="28" spans="1:29" ht="18.75" thickBot="1" x14ac:dyDescent="0.25">
      <c r="A28" s="1"/>
      <c r="B28" s="219" t="str">
        <f>Назви!A29</f>
        <v>Орієнтовний порядок повернення кредиту</v>
      </c>
      <c r="C28" s="220"/>
      <c r="D28" s="220"/>
      <c r="E28" s="220"/>
      <c r="F28" s="220"/>
      <c r="G28" s="221"/>
      <c r="H28" s="3"/>
      <c r="I28" s="3"/>
      <c r="K28" s="132"/>
    </row>
    <row r="29" spans="1:29" ht="31.15" customHeight="1" thickBot="1" x14ac:dyDescent="0.25">
      <c r="A29" s="1"/>
      <c r="B29" s="154" t="s">
        <v>65</v>
      </c>
      <c r="C29" s="154" t="str">
        <f>Назви!A30</f>
        <v>Місяць</v>
      </c>
      <c r="D29" s="95" t="str">
        <f>Назви!C30</f>
        <v>Погашення суми кредиту, грн.</v>
      </c>
      <c r="E29" s="95" t="str">
        <f>Назви!E30</f>
        <v>Проценти за користування кредитом, грн.</v>
      </c>
      <c r="F29" s="222" t="str">
        <f>Назви!F30</f>
        <v>Сума платежу за розрахунковий період, грн.</v>
      </c>
      <c r="G29" s="223"/>
      <c r="H29" s="3"/>
      <c r="I29" s="3"/>
      <c r="J29" s="132" t="e">
        <f>Лист2!#REF!</f>
        <v>#REF!</v>
      </c>
      <c r="K29" s="132"/>
      <c r="L29" s="97"/>
      <c r="AC29" s="4"/>
    </row>
    <row r="30" spans="1:29" ht="12.6" hidden="1" customHeight="1" thickBot="1" x14ac:dyDescent="0.25">
      <c r="A30" s="1"/>
      <c r="B30" s="91">
        <v>0</v>
      </c>
      <c r="C30" s="155">
        <f ca="1">TODAY()</f>
        <v>45610</v>
      </c>
      <c r="D30" s="92"/>
      <c r="E30" s="92"/>
      <c r="F30" s="224">
        <f>-1*E3</f>
        <v>-50000</v>
      </c>
      <c r="G30" s="225"/>
      <c r="H30" s="3"/>
      <c r="I30" s="3"/>
      <c r="J30" s="132" t="e">
        <f>Лист2!#REF!</f>
        <v>#REF!</v>
      </c>
      <c r="K30" s="132"/>
      <c r="L30" s="97"/>
      <c r="AC30" s="4"/>
    </row>
    <row r="31" spans="1:29" ht="13.5" thickBot="1" x14ac:dyDescent="0.25">
      <c r="A31" s="1">
        <v>1</v>
      </c>
      <c r="B31" s="102">
        <v>1</v>
      </c>
      <c r="C31" s="108">
        <f ca="1">DATE(YEAR(C30),MONTH(C30)+1,DAY(C30))</f>
        <v>45640</v>
      </c>
      <c r="D31" s="161">
        <f>IFERROR(PPMT($F$9/12,B31,$F$17,-$E$19),0)</f>
        <v>2992.9578829461157</v>
      </c>
      <c r="E31" s="162">
        <f>IFERROR(IPMT($F$9/12,B31,$F$17,-$F$7),0)</f>
        <v>2916.2499999999995</v>
      </c>
      <c r="F31" s="211">
        <f t="shared" ref="F31:F62" si="0">SUM(D31:E31)</f>
        <v>5909.2078829461152</v>
      </c>
      <c r="G31" s="211"/>
      <c r="H31" s="3"/>
      <c r="I31" s="3"/>
      <c r="J31" s="132" t="e">
        <f>Лист2!#REF!</f>
        <v>#REF!</v>
      </c>
      <c r="K31" s="132"/>
      <c r="L31" s="97"/>
      <c r="AC31" s="4"/>
    </row>
    <row r="32" spans="1:29" ht="13.5" thickBot="1" x14ac:dyDescent="0.25">
      <c r="A32" s="1">
        <v>2</v>
      </c>
      <c r="B32" s="101">
        <v>2</v>
      </c>
      <c r="C32" s="104">
        <f t="shared" ref="C32:C90" ca="1" si="1">DATE(YEAR(C31),MONTH(C31)+1,DAY(C31))</f>
        <v>45671</v>
      </c>
      <c r="D32" s="163">
        <f>IFERROR(PPMT($F$11/12,(B32-1),($F$17-1),-$F$8),0)</f>
        <v>3455.6733414535165</v>
      </c>
      <c r="E32" s="162">
        <f>IFERROR(IPMT($F$11/12,(B32-1),($F$17-1),-$F$8),0)</f>
        <v>1958.2350295262695</v>
      </c>
      <c r="F32" s="211">
        <f t="shared" si="0"/>
        <v>5413.908370979786</v>
      </c>
      <c r="G32" s="211"/>
      <c r="H32" s="3"/>
      <c r="I32" s="3"/>
      <c r="J32" s="132" t="e">
        <f>Лист2!#REF!</f>
        <v>#REF!</v>
      </c>
      <c r="K32" s="132"/>
      <c r="L32" s="97"/>
      <c r="AC32" s="4"/>
    </row>
    <row r="33" spans="1:29" ht="13.5" thickBot="1" x14ac:dyDescent="0.25">
      <c r="A33" s="1">
        <v>3</v>
      </c>
      <c r="B33" s="101">
        <v>3</v>
      </c>
      <c r="C33" s="104">
        <f t="shared" ca="1" si="1"/>
        <v>45702</v>
      </c>
      <c r="D33" s="163">
        <f t="shared" ref="D33:D90" si="2">IFERROR(PPMT($F$11/12,(B33-1),($F$17-1),-$F$8),0)</f>
        <v>3599.6309334029011</v>
      </c>
      <c r="E33" s="162">
        <f t="shared" ref="E33:E90" si="3">IFERROR(IPMT($F$11/12,(B33-1),($F$17-1),-$F$8),0)</f>
        <v>1814.2774375768854</v>
      </c>
      <c r="F33" s="211">
        <f t="shared" si="0"/>
        <v>5413.9083709797869</v>
      </c>
      <c r="G33" s="211"/>
      <c r="H33" s="3"/>
      <c r="I33" s="3"/>
      <c r="J33" s="132" t="e">
        <f>Лист2!#REF!</f>
        <v>#REF!</v>
      </c>
      <c r="K33" s="181"/>
      <c r="L33" s="97"/>
      <c r="AC33" s="4"/>
    </row>
    <row r="34" spans="1:29" ht="13.5" thickBot="1" x14ac:dyDescent="0.25">
      <c r="A34" s="1">
        <v>4</v>
      </c>
      <c r="B34" s="101">
        <v>4</v>
      </c>
      <c r="C34" s="104">
        <f t="shared" ca="1" si="1"/>
        <v>45730</v>
      </c>
      <c r="D34" s="163">
        <f t="shared" si="2"/>
        <v>3749.5855587035771</v>
      </c>
      <c r="E34" s="162">
        <f t="shared" si="3"/>
        <v>1664.3228122762093</v>
      </c>
      <c r="F34" s="211">
        <f t="shared" si="0"/>
        <v>5413.9083709797869</v>
      </c>
      <c r="G34" s="211"/>
      <c r="H34" s="3"/>
      <c r="I34" s="3"/>
      <c r="J34" s="132" t="e">
        <f>Лист2!#REF!</f>
        <v>#REF!</v>
      </c>
      <c r="K34" s="132"/>
      <c r="L34" s="97"/>
      <c r="AC34" s="4"/>
    </row>
    <row r="35" spans="1:29" ht="13.5" thickBot="1" x14ac:dyDescent="0.25">
      <c r="A35" s="1">
        <v>5</v>
      </c>
      <c r="B35" s="101">
        <v>5</v>
      </c>
      <c r="C35" s="104">
        <f t="shared" ca="1" si="1"/>
        <v>45761</v>
      </c>
      <c r="D35" s="163">
        <f t="shared" si="2"/>
        <v>3905.7870437699034</v>
      </c>
      <c r="E35" s="162">
        <f t="shared" si="3"/>
        <v>1508.1213272098828</v>
      </c>
      <c r="F35" s="211">
        <f t="shared" si="0"/>
        <v>5413.908370979786</v>
      </c>
      <c r="G35" s="211"/>
      <c r="H35" s="3"/>
      <c r="I35" s="3"/>
      <c r="J35" s="132" t="e">
        <f>Лист2!#REF!</f>
        <v>#REF!</v>
      </c>
      <c r="K35" s="132"/>
      <c r="L35" s="97"/>
      <c r="AC35" s="4"/>
    </row>
    <row r="36" spans="1:29" ht="13.5" thickBot="1" x14ac:dyDescent="0.25">
      <c r="A36" s="1">
        <v>6</v>
      </c>
      <c r="B36" s="101">
        <v>6</v>
      </c>
      <c r="C36" s="104">
        <f t="shared" ca="1" si="1"/>
        <v>45791</v>
      </c>
      <c r="D36" s="163">
        <f t="shared" si="2"/>
        <v>4068.4956223682852</v>
      </c>
      <c r="E36" s="162">
        <f t="shared" si="3"/>
        <v>1345.4127486115019</v>
      </c>
      <c r="F36" s="211">
        <f t="shared" si="0"/>
        <v>5413.9083709797869</v>
      </c>
      <c r="G36" s="211"/>
      <c r="H36" s="3"/>
      <c r="I36" s="3"/>
      <c r="J36" s="132" t="e">
        <f>Лист2!#REF!</f>
        <v>#REF!</v>
      </c>
      <c r="K36" s="132"/>
      <c r="L36" s="97"/>
      <c r="AC36" s="4"/>
    </row>
    <row r="37" spans="1:29" ht="13.5" thickBot="1" x14ac:dyDescent="0.25">
      <c r="A37" s="1">
        <v>7</v>
      </c>
      <c r="B37" s="101">
        <v>7</v>
      </c>
      <c r="C37" s="104">
        <f t="shared" ca="1" si="1"/>
        <v>45822</v>
      </c>
      <c r="D37" s="163">
        <f t="shared" si="2"/>
        <v>4237.9823691701104</v>
      </c>
      <c r="E37" s="162">
        <f t="shared" si="3"/>
        <v>1175.9260018096763</v>
      </c>
      <c r="F37" s="211">
        <f t="shared" si="0"/>
        <v>5413.9083709797869</v>
      </c>
      <c r="G37" s="211"/>
      <c r="H37" s="3"/>
      <c r="I37" s="3"/>
      <c r="J37" s="132" t="e">
        <f>Лист2!#REF!</f>
        <v>#REF!</v>
      </c>
      <c r="K37" s="132"/>
      <c r="L37" s="97"/>
      <c r="AC37" s="4"/>
    </row>
    <row r="38" spans="1:29" ht="13.5" thickBot="1" x14ac:dyDescent="0.25">
      <c r="A38" s="1">
        <v>8</v>
      </c>
      <c r="B38" s="101">
        <v>8</v>
      </c>
      <c r="C38" s="104">
        <f t="shared" ca="1" si="1"/>
        <v>45852</v>
      </c>
      <c r="D38" s="163">
        <f t="shared" si="2"/>
        <v>4414.5296513657886</v>
      </c>
      <c r="E38" s="162">
        <f t="shared" si="3"/>
        <v>999.37871961399821</v>
      </c>
      <c r="F38" s="211">
        <f t="shared" si="0"/>
        <v>5413.9083709797869</v>
      </c>
      <c r="G38" s="211"/>
      <c r="H38" s="3"/>
      <c r="I38" s="3"/>
      <c r="J38" s="132" t="e">
        <f>Лист2!#REF!</f>
        <v>#REF!</v>
      </c>
      <c r="K38" s="132"/>
      <c r="L38" s="97"/>
      <c r="AC38" s="4"/>
    </row>
    <row r="39" spans="1:29" ht="13.5" thickBot="1" x14ac:dyDescent="0.25">
      <c r="A39" s="1">
        <v>9</v>
      </c>
      <c r="B39" s="101">
        <v>9</v>
      </c>
      <c r="C39" s="104">
        <f t="shared" ca="1" si="1"/>
        <v>45883</v>
      </c>
      <c r="D39" s="163">
        <f t="shared" si="2"/>
        <v>4598.4315990922678</v>
      </c>
      <c r="E39" s="162">
        <f t="shared" si="3"/>
        <v>815.47677188751823</v>
      </c>
      <c r="F39" s="211">
        <f t="shared" si="0"/>
        <v>5413.908370979786</v>
      </c>
      <c r="G39" s="211"/>
      <c r="H39" s="3"/>
      <c r="I39" s="3"/>
      <c r="J39" s="132" t="e">
        <f>Лист2!#REF!</f>
        <v>#REF!</v>
      </c>
      <c r="K39" s="132"/>
      <c r="L39" s="97"/>
      <c r="AC39" s="4"/>
    </row>
    <row r="40" spans="1:29" ht="13.5" thickBot="1" x14ac:dyDescent="0.25">
      <c r="A40" s="1">
        <v>10</v>
      </c>
      <c r="B40" s="101">
        <v>10</v>
      </c>
      <c r="C40" s="104">
        <f t="shared" ca="1" si="1"/>
        <v>45914</v>
      </c>
      <c r="D40" s="163">
        <f t="shared" si="2"/>
        <v>4789.994595457787</v>
      </c>
      <c r="E40" s="162">
        <f t="shared" si="3"/>
        <v>623.91377552199958</v>
      </c>
      <c r="F40" s="211">
        <f t="shared" si="0"/>
        <v>5413.9083709797869</v>
      </c>
      <c r="G40" s="211"/>
      <c r="H40" s="3"/>
      <c r="I40" s="3"/>
      <c r="J40" s="132" t="e">
        <f>Лист2!#REF!</f>
        <v>#REF!</v>
      </c>
      <c r="K40" s="132"/>
      <c r="L40" s="97"/>
      <c r="AC40" s="4"/>
    </row>
    <row r="41" spans="1:29" ht="13.5" thickBot="1" x14ac:dyDescent="0.25">
      <c r="A41" s="1">
        <v>22</v>
      </c>
      <c r="B41" s="101">
        <v>11</v>
      </c>
      <c r="C41" s="104">
        <f t="shared" ca="1" si="1"/>
        <v>45944</v>
      </c>
      <c r="D41" s="163">
        <f t="shared" si="2"/>
        <v>4989.5377869802323</v>
      </c>
      <c r="E41" s="162">
        <f t="shared" si="3"/>
        <v>424.37058399955401</v>
      </c>
      <c r="F41" s="211">
        <f t="shared" si="0"/>
        <v>5413.908370979786</v>
      </c>
      <c r="G41" s="211"/>
      <c r="H41" s="3"/>
      <c r="I41" s="3"/>
      <c r="J41" s="132" t="e">
        <f>Лист2!#REF!</f>
        <v>#REF!</v>
      </c>
      <c r="K41" s="132"/>
      <c r="L41" s="97"/>
      <c r="AC41" s="4"/>
    </row>
    <row r="42" spans="1:29" ht="13.5" thickBot="1" x14ac:dyDescent="0.25">
      <c r="A42" s="1">
        <v>22</v>
      </c>
      <c r="B42" s="101">
        <v>12</v>
      </c>
      <c r="C42" s="104">
        <f t="shared" ca="1" si="1"/>
        <v>45975</v>
      </c>
      <c r="D42" s="163">
        <f t="shared" si="2"/>
        <v>5197.3936152895176</v>
      </c>
      <c r="E42" s="162">
        <f t="shared" si="3"/>
        <v>216.51475569026914</v>
      </c>
      <c r="F42" s="211">
        <f t="shared" si="0"/>
        <v>5413.9083709797869</v>
      </c>
      <c r="G42" s="211"/>
      <c r="H42" s="3"/>
      <c r="I42" s="3"/>
      <c r="J42" s="132" t="e">
        <f>Лист2!#REF!</f>
        <v>#REF!</v>
      </c>
      <c r="K42" s="132"/>
      <c r="L42" s="97"/>
      <c r="AC42" s="4"/>
    </row>
    <row r="43" spans="1:29" ht="13.5" thickBot="1" x14ac:dyDescent="0.25">
      <c r="A43" s="1">
        <v>13</v>
      </c>
      <c r="B43" s="101">
        <v>13</v>
      </c>
      <c r="C43" s="104">
        <f t="shared" ca="1" si="1"/>
        <v>46005</v>
      </c>
      <c r="D43" s="163">
        <f t="shared" si="2"/>
        <v>0</v>
      </c>
      <c r="E43" s="162">
        <f t="shared" si="3"/>
        <v>0</v>
      </c>
      <c r="F43" s="211">
        <f t="shared" si="0"/>
        <v>0</v>
      </c>
      <c r="G43" s="211"/>
      <c r="H43" s="3"/>
      <c r="I43" s="3"/>
      <c r="J43" s="132" t="e">
        <f>Лист2!#REF!</f>
        <v>#REF!</v>
      </c>
      <c r="K43" s="132"/>
      <c r="L43" s="97"/>
      <c r="AC43" s="4"/>
    </row>
    <row r="44" spans="1:29" ht="13.5" thickBot="1" x14ac:dyDescent="0.25">
      <c r="A44" s="1">
        <v>14</v>
      </c>
      <c r="B44" s="101">
        <v>14</v>
      </c>
      <c r="C44" s="104">
        <f t="shared" ca="1" si="1"/>
        <v>46036</v>
      </c>
      <c r="D44" s="163">
        <f t="shared" si="2"/>
        <v>0</v>
      </c>
      <c r="E44" s="162">
        <f t="shared" si="3"/>
        <v>0</v>
      </c>
      <c r="F44" s="211">
        <f t="shared" si="0"/>
        <v>0</v>
      </c>
      <c r="G44" s="211"/>
      <c r="H44" s="3"/>
      <c r="I44" s="3"/>
      <c r="J44" s="132" t="e">
        <f>Лист2!#REF!</f>
        <v>#REF!</v>
      </c>
      <c r="K44" s="132"/>
      <c r="L44" s="97"/>
      <c r="AC44" s="4"/>
    </row>
    <row r="45" spans="1:29" ht="13.5" thickBot="1" x14ac:dyDescent="0.25">
      <c r="A45" s="1">
        <v>15</v>
      </c>
      <c r="B45" s="101">
        <v>15</v>
      </c>
      <c r="C45" s="104">
        <f t="shared" ca="1" si="1"/>
        <v>46067</v>
      </c>
      <c r="D45" s="163">
        <f t="shared" si="2"/>
        <v>0</v>
      </c>
      <c r="E45" s="162">
        <f t="shared" si="3"/>
        <v>0</v>
      </c>
      <c r="F45" s="211">
        <f t="shared" si="0"/>
        <v>0</v>
      </c>
      <c r="G45" s="211"/>
      <c r="H45" s="3"/>
      <c r="I45" s="3"/>
      <c r="J45" s="132" t="e">
        <f>Лист2!#REF!</f>
        <v>#REF!</v>
      </c>
      <c r="K45" s="132"/>
      <c r="L45" s="97"/>
      <c r="AC45" s="4"/>
    </row>
    <row r="46" spans="1:29" ht="13.5" thickBot="1" x14ac:dyDescent="0.25">
      <c r="A46" s="1">
        <v>16</v>
      </c>
      <c r="B46" s="101">
        <v>16</v>
      </c>
      <c r="C46" s="104">
        <f t="shared" ca="1" si="1"/>
        <v>46095</v>
      </c>
      <c r="D46" s="163">
        <f t="shared" si="2"/>
        <v>0</v>
      </c>
      <c r="E46" s="162">
        <f t="shared" si="3"/>
        <v>0</v>
      </c>
      <c r="F46" s="211">
        <f t="shared" si="0"/>
        <v>0</v>
      </c>
      <c r="G46" s="211"/>
      <c r="H46" s="3"/>
      <c r="I46" s="3"/>
      <c r="J46" s="132" t="e">
        <f>Лист2!#REF!</f>
        <v>#REF!</v>
      </c>
      <c r="K46" s="132"/>
      <c r="L46" s="97"/>
      <c r="AC46" s="4"/>
    </row>
    <row r="47" spans="1:29" ht="13.5" thickBot="1" x14ac:dyDescent="0.25">
      <c r="A47" s="1">
        <v>22</v>
      </c>
      <c r="B47" s="101">
        <v>17</v>
      </c>
      <c r="C47" s="104">
        <f t="shared" ca="1" si="1"/>
        <v>46126</v>
      </c>
      <c r="D47" s="163">
        <f t="shared" si="2"/>
        <v>0</v>
      </c>
      <c r="E47" s="162">
        <f t="shared" si="3"/>
        <v>0</v>
      </c>
      <c r="F47" s="211">
        <f t="shared" si="0"/>
        <v>0</v>
      </c>
      <c r="G47" s="211"/>
      <c r="H47" s="3"/>
      <c r="I47" s="3"/>
      <c r="J47" s="132"/>
      <c r="K47" s="132"/>
      <c r="L47" s="97"/>
      <c r="AC47" s="4"/>
    </row>
    <row r="48" spans="1:29" ht="13.5" thickBot="1" x14ac:dyDescent="0.25">
      <c r="A48" s="1">
        <v>22</v>
      </c>
      <c r="B48" s="101">
        <v>18</v>
      </c>
      <c r="C48" s="104">
        <f t="shared" ca="1" si="1"/>
        <v>46156</v>
      </c>
      <c r="D48" s="163">
        <f t="shared" si="2"/>
        <v>0</v>
      </c>
      <c r="E48" s="162">
        <f t="shared" si="3"/>
        <v>0</v>
      </c>
      <c r="F48" s="211">
        <f t="shared" si="0"/>
        <v>0</v>
      </c>
      <c r="G48" s="211"/>
      <c r="H48" s="3"/>
      <c r="I48" s="3"/>
      <c r="J48" s="132"/>
      <c r="L48" s="97"/>
      <c r="AC48" s="4"/>
    </row>
    <row r="49" spans="1:29" ht="13.5" thickBot="1" x14ac:dyDescent="0.25">
      <c r="A49" s="1">
        <v>19</v>
      </c>
      <c r="B49" s="101">
        <v>19</v>
      </c>
      <c r="C49" s="104">
        <f t="shared" ca="1" si="1"/>
        <v>46187</v>
      </c>
      <c r="D49" s="163">
        <f t="shared" si="2"/>
        <v>0</v>
      </c>
      <c r="E49" s="162">
        <f t="shared" si="3"/>
        <v>0</v>
      </c>
      <c r="F49" s="211">
        <f t="shared" si="0"/>
        <v>0</v>
      </c>
      <c r="G49" s="211"/>
      <c r="H49" s="3"/>
      <c r="I49" s="3"/>
      <c r="J49" s="132"/>
      <c r="L49" s="97"/>
      <c r="AC49" s="4"/>
    </row>
    <row r="50" spans="1:29" ht="13.5" thickBot="1" x14ac:dyDescent="0.25">
      <c r="A50" s="1">
        <v>20</v>
      </c>
      <c r="B50" s="101">
        <v>20</v>
      </c>
      <c r="C50" s="104">
        <f t="shared" ca="1" si="1"/>
        <v>46217</v>
      </c>
      <c r="D50" s="163">
        <f t="shared" si="2"/>
        <v>0</v>
      </c>
      <c r="E50" s="162">
        <f t="shared" si="3"/>
        <v>0</v>
      </c>
      <c r="F50" s="211">
        <f t="shared" si="0"/>
        <v>0</v>
      </c>
      <c r="G50" s="211"/>
      <c r="H50" s="3"/>
      <c r="I50" s="3"/>
      <c r="J50" s="132"/>
      <c r="L50" s="97"/>
      <c r="AC50" s="4"/>
    </row>
    <row r="51" spans="1:29" ht="13.5" thickBot="1" x14ac:dyDescent="0.25">
      <c r="A51" s="49">
        <v>21</v>
      </c>
      <c r="B51" s="101">
        <v>21</v>
      </c>
      <c r="C51" s="104">
        <f t="shared" ca="1" si="1"/>
        <v>46248</v>
      </c>
      <c r="D51" s="163">
        <f t="shared" si="2"/>
        <v>0</v>
      </c>
      <c r="E51" s="162">
        <f t="shared" si="3"/>
        <v>0</v>
      </c>
      <c r="F51" s="211">
        <f t="shared" si="0"/>
        <v>0</v>
      </c>
      <c r="G51" s="211"/>
      <c r="H51" s="3"/>
      <c r="I51" s="3"/>
      <c r="J51" s="132"/>
      <c r="L51" s="97"/>
      <c r="AC51" s="4"/>
    </row>
    <row r="52" spans="1:29" ht="13.5" thickBot="1" x14ac:dyDescent="0.25">
      <c r="A52" s="49">
        <v>22</v>
      </c>
      <c r="B52" s="101">
        <v>22</v>
      </c>
      <c r="C52" s="104">
        <f t="shared" ca="1" si="1"/>
        <v>46279</v>
      </c>
      <c r="D52" s="163">
        <f t="shared" si="2"/>
        <v>0</v>
      </c>
      <c r="E52" s="162">
        <f t="shared" si="3"/>
        <v>0</v>
      </c>
      <c r="F52" s="211">
        <f t="shared" si="0"/>
        <v>0</v>
      </c>
      <c r="G52" s="211"/>
      <c r="H52" s="3"/>
      <c r="I52" s="3"/>
      <c r="J52" s="4"/>
      <c r="L52" s="97"/>
      <c r="AC52" s="4"/>
    </row>
    <row r="53" spans="1:29" ht="13.5" thickBot="1" x14ac:dyDescent="0.25">
      <c r="A53" s="49">
        <v>25</v>
      </c>
      <c r="B53" s="101">
        <v>23</v>
      </c>
      <c r="C53" s="104">
        <f t="shared" ca="1" si="1"/>
        <v>46309</v>
      </c>
      <c r="D53" s="163">
        <f t="shared" si="2"/>
        <v>0</v>
      </c>
      <c r="E53" s="162">
        <f t="shared" si="3"/>
        <v>0</v>
      </c>
      <c r="F53" s="211">
        <f t="shared" si="0"/>
        <v>0</v>
      </c>
      <c r="G53" s="211"/>
      <c r="H53" s="3"/>
      <c r="I53" s="3"/>
      <c r="J53" s="4"/>
      <c r="L53" s="97"/>
      <c r="AC53" s="4"/>
    </row>
    <row r="54" spans="1:29" ht="13.5" thickBot="1" x14ac:dyDescent="0.25">
      <c r="A54" s="49"/>
      <c r="B54" s="101">
        <v>24</v>
      </c>
      <c r="C54" s="104">
        <f t="shared" ca="1" si="1"/>
        <v>46340</v>
      </c>
      <c r="D54" s="163">
        <f t="shared" si="2"/>
        <v>0</v>
      </c>
      <c r="E54" s="162">
        <f t="shared" si="3"/>
        <v>0</v>
      </c>
      <c r="F54" s="211">
        <f t="shared" si="0"/>
        <v>0</v>
      </c>
      <c r="G54" s="211"/>
      <c r="H54" s="3"/>
      <c r="I54" s="3"/>
      <c r="J54" s="4"/>
      <c r="L54" s="97"/>
      <c r="AC54" s="4"/>
    </row>
    <row r="55" spans="1:29" ht="13.5" thickBot="1" x14ac:dyDescent="0.25">
      <c r="A55" s="49"/>
      <c r="B55" s="101">
        <v>25</v>
      </c>
      <c r="C55" s="104">
        <f t="shared" ca="1" si="1"/>
        <v>46370</v>
      </c>
      <c r="D55" s="163">
        <f t="shared" si="2"/>
        <v>0</v>
      </c>
      <c r="E55" s="162">
        <f t="shared" si="3"/>
        <v>0</v>
      </c>
      <c r="F55" s="211">
        <f t="shared" si="0"/>
        <v>0</v>
      </c>
      <c r="G55" s="211"/>
      <c r="H55" s="3"/>
      <c r="I55" s="3"/>
      <c r="J55" s="4"/>
      <c r="L55" s="97"/>
      <c r="AC55" s="4"/>
    </row>
    <row r="56" spans="1:29" ht="13.5" thickBot="1" x14ac:dyDescent="0.25">
      <c r="A56" s="49"/>
      <c r="B56" s="101">
        <v>26</v>
      </c>
      <c r="C56" s="104">
        <f t="shared" ca="1" si="1"/>
        <v>46401</v>
      </c>
      <c r="D56" s="163">
        <f t="shared" si="2"/>
        <v>0</v>
      </c>
      <c r="E56" s="162">
        <f t="shared" si="3"/>
        <v>0</v>
      </c>
      <c r="F56" s="211">
        <f t="shared" si="0"/>
        <v>0</v>
      </c>
      <c r="G56" s="211"/>
      <c r="H56" s="3"/>
      <c r="I56" s="3"/>
      <c r="J56" s="4"/>
      <c r="L56" s="97"/>
      <c r="AC56" s="4"/>
    </row>
    <row r="57" spans="1:29" ht="13.5" thickBot="1" x14ac:dyDescent="0.25">
      <c r="A57" s="49"/>
      <c r="B57" s="101">
        <v>27</v>
      </c>
      <c r="C57" s="104">
        <f t="shared" ca="1" si="1"/>
        <v>46432</v>
      </c>
      <c r="D57" s="163">
        <f t="shared" si="2"/>
        <v>0</v>
      </c>
      <c r="E57" s="162">
        <f t="shared" si="3"/>
        <v>0</v>
      </c>
      <c r="F57" s="211">
        <f t="shared" si="0"/>
        <v>0</v>
      </c>
      <c r="G57" s="211"/>
      <c r="H57" s="3"/>
      <c r="I57" s="3"/>
      <c r="J57" s="4"/>
      <c r="L57" s="97"/>
      <c r="AC57" s="4"/>
    </row>
    <row r="58" spans="1:29" ht="13.5" thickBot="1" x14ac:dyDescent="0.25">
      <c r="A58" s="49"/>
      <c r="B58" s="101">
        <v>28</v>
      </c>
      <c r="C58" s="104">
        <f t="shared" ca="1" si="1"/>
        <v>46460</v>
      </c>
      <c r="D58" s="163">
        <f t="shared" si="2"/>
        <v>0</v>
      </c>
      <c r="E58" s="162">
        <f t="shared" si="3"/>
        <v>0</v>
      </c>
      <c r="F58" s="211">
        <f t="shared" si="0"/>
        <v>0</v>
      </c>
      <c r="G58" s="211"/>
      <c r="H58" s="3"/>
      <c r="I58" s="3"/>
      <c r="J58" s="4"/>
      <c r="L58" s="97"/>
      <c r="AC58" s="4"/>
    </row>
    <row r="59" spans="1:29" ht="13.5" thickBot="1" x14ac:dyDescent="0.25">
      <c r="A59" s="49"/>
      <c r="B59" s="101">
        <v>29</v>
      </c>
      <c r="C59" s="104">
        <f t="shared" ca="1" si="1"/>
        <v>46491</v>
      </c>
      <c r="D59" s="163">
        <f t="shared" si="2"/>
        <v>0</v>
      </c>
      <c r="E59" s="162">
        <f t="shared" si="3"/>
        <v>0</v>
      </c>
      <c r="F59" s="211">
        <f t="shared" si="0"/>
        <v>0</v>
      </c>
      <c r="G59" s="211"/>
      <c r="H59" s="3"/>
      <c r="I59" s="3"/>
      <c r="J59" s="4"/>
      <c r="L59" s="97"/>
      <c r="AC59" s="4"/>
    </row>
    <row r="60" spans="1:29" ht="13.5" thickBot="1" x14ac:dyDescent="0.25">
      <c r="A60" s="49">
        <v>25</v>
      </c>
      <c r="B60" s="101">
        <v>30</v>
      </c>
      <c r="C60" s="104">
        <f t="shared" ca="1" si="1"/>
        <v>46521</v>
      </c>
      <c r="D60" s="163">
        <f t="shared" si="2"/>
        <v>0</v>
      </c>
      <c r="E60" s="162">
        <f t="shared" si="3"/>
        <v>0</v>
      </c>
      <c r="F60" s="211">
        <f t="shared" si="0"/>
        <v>0</v>
      </c>
      <c r="G60" s="211"/>
      <c r="H60" s="106"/>
      <c r="I60" s="106"/>
      <c r="J60" s="4"/>
      <c r="L60" s="97"/>
      <c r="AC60" s="4"/>
    </row>
    <row r="61" spans="1:29" ht="13.5" thickBot="1" x14ac:dyDescent="0.25">
      <c r="A61" s="49"/>
      <c r="B61" s="101">
        <v>31</v>
      </c>
      <c r="C61" s="104">
        <f t="shared" ca="1" si="1"/>
        <v>46552</v>
      </c>
      <c r="D61" s="163">
        <f t="shared" si="2"/>
        <v>0</v>
      </c>
      <c r="E61" s="162">
        <f t="shared" si="3"/>
        <v>0</v>
      </c>
      <c r="F61" s="211">
        <f t="shared" si="0"/>
        <v>0</v>
      </c>
      <c r="G61" s="211"/>
      <c r="H61" s="106"/>
      <c r="I61" s="106"/>
      <c r="J61" s="4"/>
      <c r="L61" s="97"/>
      <c r="AC61" s="4"/>
    </row>
    <row r="62" spans="1:29" ht="13.5" thickBot="1" x14ac:dyDescent="0.25">
      <c r="A62" s="49"/>
      <c r="B62" s="101">
        <v>32</v>
      </c>
      <c r="C62" s="104">
        <f t="shared" ca="1" si="1"/>
        <v>46582</v>
      </c>
      <c r="D62" s="163">
        <f t="shared" si="2"/>
        <v>0</v>
      </c>
      <c r="E62" s="162">
        <f t="shared" si="3"/>
        <v>0</v>
      </c>
      <c r="F62" s="211">
        <f t="shared" si="0"/>
        <v>0</v>
      </c>
      <c r="G62" s="211"/>
      <c r="H62" s="106"/>
      <c r="I62" s="106"/>
      <c r="J62" s="4"/>
      <c r="L62" s="97"/>
      <c r="AC62" s="4"/>
    </row>
    <row r="63" spans="1:29" ht="13.5" thickBot="1" x14ac:dyDescent="0.25">
      <c r="A63" s="49"/>
      <c r="B63" s="101">
        <v>33</v>
      </c>
      <c r="C63" s="104">
        <f t="shared" ca="1" si="1"/>
        <v>46613</v>
      </c>
      <c r="D63" s="163">
        <f t="shared" si="2"/>
        <v>0</v>
      </c>
      <c r="E63" s="162">
        <f t="shared" si="3"/>
        <v>0</v>
      </c>
      <c r="F63" s="211">
        <f t="shared" ref="F63:F90" si="4">SUM(D63:E63)</f>
        <v>0</v>
      </c>
      <c r="G63" s="211"/>
      <c r="H63" s="106"/>
      <c r="I63" s="106"/>
      <c r="J63" s="4"/>
      <c r="L63" s="97"/>
      <c r="AC63" s="4"/>
    </row>
    <row r="64" spans="1:29" ht="13.5" thickBot="1" x14ac:dyDescent="0.25">
      <c r="A64" s="49"/>
      <c r="B64" s="101">
        <v>34</v>
      </c>
      <c r="C64" s="104">
        <f t="shared" ca="1" si="1"/>
        <v>46644</v>
      </c>
      <c r="D64" s="163">
        <f t="shared" si="2"/>
        <v>0</v>
      </c>
      <c r="E64" s="162">
        <f t="shared" si="3"/>
        <v>0</v>
      </c>
      <c r="F64" s="211">
        <f t="shared" si="4"/>
        <v>0</v>
      </c>
      <c r="G64" s="211"/>
      <c r="H64" s="106"/>
      <c r="I64" s="106"/>
      <c r="J64" s="4"/>
      <c r="L64" s="97"/>
      <c r="AC64" s="4"/>
    </row>
    <row r="65" spans="1:29" ht="13.5" thickBot="1" x14ac:dyDescent="0.25">
      <c r="A65" s="49"/>
      <c r="B65" s="101">
        <v>35</v>
      </c>
      <c r="C65" s="104">
        <f t="shared" ca="1" si="1"/>
        <v>46674</v>
      </c>
      <c r="D65" s="163">
        <f t="shared" si="2"/>
        <v>0</v>
      </c>
      <c r="E65" s="162">
        <f t="shared" si="3"/>
        <v>0</v>
      </c>
      <c r="F65" s="211">
        <f t="shared" si="4"/>
        <v>0</v>
      </c>
      <c r="G65" s="211"/>
      <c r="H65" s="106"/>
      <c r="I65" s="106"/>
      <c r="J65" s="4"/>
      <c r="L65" s="97"/>
      <c r="AC65" s="4"/>
    </row>
    <row r="66" spans="1:29" ht="13.5" thickBot="1" x14ac:dyDescent="0.25">
      <c r="A66" s="49"/>
      <c r="B66" s="101">
        <v>36</v>
      </c>
      <c r="C66" s="104">
        <f t="shared" ca="1" si="1"/>
        <v>46705</v>
      </c>
      <c r="D66" s="163">
        <f t="shared" si="2"/>
        <v>0</v>
      </c>
      <c r="E66" s="162">
        <f t="shared" si="3"/>
        <v>0</v>
      </c>
      <c r="F66" s="211">
        <f t="shared" si="4"/>
        <v>0</v>
      </c>
      <c r="G66" s="211"/>
      <c r="H66" s="106"/>
      <c r="I66" s="106"/>
      <c r="J66" s="4"/>
      <c r="L66" s="97"/>
      <c r="AC66" s="4"/>
    </row>
    <row r="67" spans="1:29" ht="13.5" thickBot="1" x14ac:dyDescent="0.25">
      <c r="A67" s="49"/>
      <c r="B67" s="101">
        <v>37</v>
      </c>
      <c r="C67" s="104">
        <f t="shared" ca="1" si="1"/>
        <v>46735</v>
      </c>
      <c r="D67" s="163">
        <f t="shared" si="2"/>
        <v>0</v>
      </c>
      <c r="E67" s="162">
        <f t="shared" si="3"/>
        <v>0</v>
      </c>
      <c r="F67" s="211">
        <f t="shared" si="4"/>
        <v>0</v>
      </c>
      <c r="G67" s="211"/>
      <c r="H67" s="106"/>
      <c r="I67" s="106"/>
      <c r="J67" s="4"/>
      <c r="L67" s="97"/>
      <c r="AC67" s="4"/>
    </row>
    <row r="68" spans="1:29" ht="13.5" thickBot="1" x14ac:dyDescent="0.25">
      <c r="A68" s="49"/>
      <c r="B68" s="101">
        <v>38</v>
      </c>
      <c r="C68" s="104">
        <f t="shared" ca="1" si="1"/>
        <v>46766</v>
      </c>
      <c r="D68" s="163">
        <f t="shared" si="2"/>
        <v>0</v>
      </c>
      <c r="E68" s="162">
        <f t="shared" si="3"/>
        <v>0</v>
      </c>
      <c r="F68" s="211">
        <f t="shared" si="4"/>
        <v>0</v>
      </c>
      <c r="G68" s="211"/>
      <c r="H68" s="106"/>
      <c r="I68" s="106"/>
      <c r="J68" s="4"/>
      <c r="L68" s="97"/>
      <c r="AC68" s="4"/>
    </row>
    <row r="69" spans="1:29" ht="13.5" thickBot="1" x14ac:dyDescent="0.25">
      <c r="A69" s="49"/>
      <c r="B69" s="101">
        <v>39</v>
      </c>
      <c r="C69" s="104">
        <f t="shared" ca="1" si="1"/>
        <v>46797</v>
      </c>
      <c r="D69" s="163">
        <f t="shared" si="2"/>
        <v>0</v>
      </c>
      <c r="E69" s="162">
        <f t="shared" si="3"/>
        <v>0</v>
      </c>
      <c r="F69" s="211">
        <f t="shared" si="4"/>
        <v>0</v>
      </c>
      <c r="G69" s="211"/>
      <c r="H69" s="106"/>
      <c r="I69" s="106"/>
      <c r="J69" s="4"/>
      <c r="L69" s="97"/>
      <c r="AC69" s="4"/>
    </row>
    <row r="70" spans="1:29" ht="13.5" thickBot="1" x14ac:dyDescent="0.25">
      <c r="A70" s="49"/>
      <c r="B70" s="101">
        <v>40</v>
      </c>
      <c r="C70" s="104">
        <f t="shared" ca="1" si="1"/>
        <v>46826</v>
      </c>
      <c r="D70" s="163">
        <f t="shared" si="2"/>
        <v>0</v>
      </c>
      <c r="E70" s="162">
        <f t="shared" si="3"/>
        <v>0</v>
      </c>
      <c r="F70" s="211">
        <f t="shared" si="4"/>
        <v>0</v>
      </c>
      <c r="G70" s="211"/>
      <c r="H70" s="106"/>
      <c r="I70" s="106"/>
      <c r="J70" s="4"/>
      <c r="L70" s="97"/>
      <c r="AC70" s="4"/>
    </row>
    <row r="71" spans="1:29" ht="13.5" thickBot="1" x14ac:dyDescent="0.25">
      <c r="A71" s="49"/>
      <c r="B71" s="101">
        <v>41</v>
      </c>
      <c r="C71" s="104">
        <f t="shared" ca="1" si="1"/>
        <v>46857</v>
      </c>
      <c r="D71" s="163">
        <f t="shared" si="2"/>
        <v>0</v>
      </c>
      <c r="E71" s="162">
        <f t="shared" si="3"/>
        <v>0</v>
      </c>
      <c r="F71" s="211">
        <f t="shared" si="4"/>
        <v>0</v>
      </c>
      <c r="G71" s="211"/>
      <c r="H71" s="106"/>
      <c r="I71" s="106"/>
      <c r="J71" s="4"/>
      <c r="L71" s="97"/>
      <c r="AC71" s="4"/>
    </row>
    <row r="72" spans="1:29" ht="13.5" thickBot="1" x14ac:dyDescent="0.25">
      <c r="A72" s="49"/>
      <c r="B72" s="101">
        <v>42</v>
      </c>
      <c r="C72" s="104">
        <f t="shared" ca="1" si="1"/>
        <v>46887</v>
      </c>
      <c r="D72" s="163">
        <f t="shared" si="2"/>
        <v>0</v>
      </c>
      <c r="E72" s="162">
        <f t="shared" si="3"/>
        <v>0</v>
      </c>
      <c r="F72" s="211">
        <f t="shared" si="4"/>
        <v>0</v>
      </c>
      <c r="G72" s="211"/>
      <c r="H72" s="106"/>
      <c r="I72" s="106"/>
      <c r="J72" s="4"/>
      <c r="L72" s="97"/>
      <c r="AC72" s="4"/>
    </row>
    <row r="73" spans="1:29" ht="13.5" thickBot="1" x14ac:dyDescent="0.25">
      <c r="A73" s="49"/>
      <c r="B73" s="101">
        <v>43</v>
      </c>
      <c r="C73" s="104">
        <f t="shared" ca="1" si="1"/>
        <v>46918</v>
      </c>
      <c r="D73" s="163">
        <f t="shared" si="2"/>
        <v>0</v>
      </c>
      <c r="E73" s="162">
        <f t="shared" si="3"/>
        <v>0</v>
      </c>
      <c r="F73" s="211">
        <f t="shared" si="4"/>
        <v>0</v>
      </c>
      <c r="G73" s="211"/>
      <c r="H73" s="106"/>
      <c r="I73" s="106"/>
      <c r="J73" s="4"/>
      <c r="L73" s="97"/>
      <c r="AC73" s="4"/>
    </row>
    <row r="74" spans="1:29" ht="13.5" thickBot="1" x14ac:dyDescent="0.25">
      <c r="A74" s="49"/>
      <c r="B74" s="101">
        <v>44</v>
      </c>
      <c r="C74" s="104">
        <f t="shared" ca="1" si="1"/>
        <v>46948</v>
      </c>
      <c r="D74" s="163">
        <f t="shared" si="2"/>
        <v>0</v>
      </c>
      <c r="E74" s="162">
        <f t="shared" si="3"/>
        <v>0</v>
      </c>
      <c r="F74" s="211">
        <f t="shared" si="4"/>
        <v>0</v>
      </c>
      <c r="G74" s="211"/>
      <c r="H74" s="106"/>
      <c r="I74" s="106"/>
      <c r="J74" s="4"/>
      <c r="L74" s="97"/>
      <c r="AC74" s="4"/>
    </row>
    <row r="75" spans="1:29" ht="13.5" thickBot="1" x14ac:dyDescent="0.25">
      <c r="A75" s="49"/>
      <c r="B75" s="101">
        <v>45</v>
      </c>
      <c r="C75" s="104">
        <f t="shared" ca="1" si="1"/>
        <v>46979</v>
      </c>
      <c r="D75" s="163">
        <f t="shared" si="2"/>
        <v>0</v>
      </c>
      <c r="E75" s="162">
        <f t="shared" si="3"/>
        <v>0</v>
      </c>
      <c r="F75" s="211">
        <f t="shared" si="4"/>
        <v>0</v>
      </c>
      <c r="G75" s="211"/>
      <c r="H75" s="106"/>
      <c r="I75" s="106"/>
      <c r="J75" s="4"/>
      <c r="L75" s="97"/>
      <c r="AC75" s="4"/>
    </row>
    <row r="76" spans="1:29" ht="13.5" thickBot="1" x14ac:dyDescent="0.25">
      <c r="A76" s="49"/>
      <c r="B76" s="101">
        <v>46</v>
      </c>
      <c r="C76" s="104">
        <f t="shared" ca="1" si="1"/>
        <v>47010</v>
      </c>
      <c r="D76" s="163">
        <f t="shared" si="2"/>
        <v>0</v>
      </c>
      <c r="E76" s="162">
        <f t="shared" si="3"/>
        <v>0</v>
      </c>
      <c r="F76" s="211">
        <f t="shared" si="4"/>
        <v>0</v>
      </c>
      <c r="G76" s="211"/>
      <c r="H76" s="106"/>
      <c r="I76" s="106"/>
      <c r="J76" s="4"/>
      <c r="L76" s="97"/>
      <c r="AC76" s="4"/>
    </row>
    <row r="77" spans="1:29" ht="13.5" thickBot="1" x14ac:dyDescent="0.25">
      <c r="A77" s="49"/>
      <c r="B77" s="101">
        <v>47</v>
      </c>
      <c r="C77" s="104">
        <f t="shared" ca="1" si="1"/>
        <v>47040</v>
      </c>
      <c r="D77" s="163">
        <f t="shared" si="2"/>
        <v>0</v>
      </c>
      <c r="E77" s="162">
        <f t="shared" si="3"/>
        <v>0</v>
      </c>
      <c r="F77" s="211">
        <f t="shared" si="4"/>
        <v>0</v>
      </c>
      <c r="G77" s="211"/>
      <c r="H77" s="106"/>
      <c r="I77" s="106"/>
      <c r="J77" s="4"/>
      <c r="L77" s="97"/>
      <c r="AC77" s="4"/>
    </row>
    <row r="78" spans="1:29" ht="13.5" thickBot="1" x14ac:dyDescent="0.25">
      <c r="A78" s="49"/>
      <c r="B78" s="101">
        <v>48</v>
      </c>
      <c r="C78" s="104">
        <f t="shared" ca="1" si="1"/>
        <v>47071</v>
      </c>
      <c r="D78" s="163">
        <f t="shared" si="2"/>
        <v>0</v>
      </c>
      <c r="E78" s="162">
        <f t="shared" si="3"/>
        <v>0</v>
      </c>
      <c r="F78" s="211">
        <f t="shared" si="4"/>
        <v>0</v>
      </c>
      <c r="G78" s="211"/>
      <c r="H78" s="106"/>
      <c r="I78" s="106"/>
      <c r="J78" s="4"/>
      <c r="L78" s="97"/>
      <c r="AC78" s="4"/>
    </row>
    <row r="79" spans="1:29" ht="13.5" thickBot="1" x14ac:dyDescent="0.25">
      <c r="A79" s="49"/>
      <c r="B79" s="101">
        <v>49</v>
      </c>
      <c r="C79" s="104">
        <f t="shared" ca="1" si="1"/>
        <v>47101</v>
      </c>
      <c r="D79" s="163">
        <f t="shared" si="2"/>
        <v>0</v>
      </c>
      <c r="E79" s="162">
        <f t="shared" si="3"/>
        <v>0</v>
      </c>
      <c r="F79" s="211">
        <f t="shared" si="4"/>
        <v>0</v>
      </c>
      <c r="G79" s="211"/>
      <c r="H79" s="106"/>
      <c r="I79" s="106"/>
      <c r="J79" s="4"/>
      <c r="L79" s="97"/>
      <c r="AC79" s="4"/>
    </row>
    <row r="80" spans="1:29" ht="13.5" thickBot="1" x14ac:dyDescent="0.25">
      <c r="A80" s="49"/>
      <c r="B80" s="101">
        <v>50</v>
      </c>
      <c r="C80" s="104">
        <f t="shared" ca="1" si="1"/>
        <v>47132</v>
      </c>
      <c r="D80" s="163">
        <f t="shared" si="2"/>
        <v>0</v>
      </c>
      <c r="E80" s="162">
        <f t="shared" si="3"/>
        <v>0</v>
      </c>
      <c r="F80" s="211">
        <f t="shared" si="4"/>
        <v>0</v>
      </c>
      <c r="G80" s="211"/>
      <c r="H80" s="106"/>
      <c r="I80" s="106"/>
      <c r="J80" s="4"/>
      <c r="L80" s="97"/>
      <c r="AC80" s="4"/>
    </row>
    <row r="81" spans="1:29" ht="13.5" thickBot="1" x14ac:dyDescent="0.25">
      <c r="A81" s="49"/>
      <c r="B81" s="101">
        <v>51</v>
      </c>
      <c r="C81" s="104">
        <f t="shared" ca="1" si="1"/>
        <v>47163</v>
      </c>
      <c r="D81" s="163">
        <f t="shared" si="2"/>
        <v>0</v>
      </c>
      <c r="E81" s="162">
        <f t="shared" si="3"/>
        <v>0</v>
      </c>
      <c r="F81" s="211">
        <f t="shared" si="4"/>
        <v>0</v>
      </c>
      <c r="G81" s="211"/>
      <c r="H81" s="106"/>
      <c r="I81" s="106"/>
      <c r="J81" s="4"/>
      <c r="L81" s="97"/>
      <c r="AC81" s="4"/>
    </row>
    <row r="82" spans="1:29" ht="13.5" thickBot="1" x14ac:dyDescent="0.25">
      <c r="A82" s="49"/>
      <c r="B82" s="101">
        <v>52</v>
      </c>
      <c r="C82" s="104">
        <f t="shared" ca="1" si="1"/>
        <v>47191</v>
      </c>
      <c r="D82" s="163">
        <f t="shared" si="2"/>
        <v>0</v>
      </c>
      <c r="E82" s="162">
        <f t="shared" si="3"/>
        <v>0</v>
      </c>
      <c r="F82" s="211">
        <f t="shared" si="4"/>
        <v>0</v>
      </c>
      <c r="G82" s="211"/>
      <c r="H82" s="106"/>
      <c r="I82" s="106"/>
      <c r="J82" s="4"/>
      <c r="L82" s="97"/>
      <c r="AC82" s="4"/>
    </row>
    <row r="83" spans="1:29" ht="13.5" thickBot="1" x14ac:dyDescent="0.25">
      <c r="A83" s="49"/>
      <c r="B83" s="101">
        <v>53</v>
      </c>
      <c r="C83" s="104">
        <f t="shared" ca="1" si="1"/>
        <v>47222</v>
      </c>
      <c r="D83" s="163">
        <f t="shared" si="2"/>
        <v>0</v>
      </c>
      <c r="E83" s="162">
        <f t="shared" si="3"/>
        <v>0</v>
      </c>
      <c r="F83" s="211">
        <f t="shared" si="4"/>
        <v>0</v>
      </c>
      <c r="G83" s="211"/>
      <c r="H83" s="106"/>
      <c r="I83" s="106"/>
      <c r="J83" s="4"/>
      <c r="L83" s="97"/>
      <c r="AC83" s="4"/>
    </row>
    <row r="84" spans="1:29" ht="13.5" thickBot="1" x14ac:dyDescent="0.25">
      <c r="A84" s="49"/>
      <c r="B84" s="101">
        <v>54</v>
      </c>
      <c r="C84" s="104">
        <f t="shared" ca="1" si="1"/>
        <v>47252</v>
      </c>
      <c r="D84" s="163">
        <f t="shared" si="2"/>
        <v>0</v>
      </c>
      <c r="E84" s="162">
        <f t="shared" si="3"/>
        <v>0</v>
      </c>
      <c r="F84" s="211">
        <f t="shared" si="4"/>
        <v>0</v>
      </c>
      <c r="G84" s="211"/>
      <c r="H84" s="106"/>
      <c r="I84" s="106"/>
      <c r="J84" s="4"/>
      <c r="L84" s="97"/>
      <c r="AC84" s="4"/>
    </row>
    <row r="85" spans="1:29" ht="13.5" thickBot="1" x14ac:dyDescent="0.25">
      <c r="A85" s="49"/>
      <c r="B85" s="101">
        <v>55</v>
      </c>
      <c r="C85" s="104">
        <f t="shared" ca="1" si="1"/>
        <v>47283</v>
      </c>
      <c r="D85" s="163">
        <f t="shared" si="2"/>
        <v>0</v>
      </c>
      <c r="E85" s="162">
        <f t="shared" si="3"/>
        <v>0</v>
      </c>
      <c r="F85" s="211">
        <f t="shared" si="4"/>
        <v>0</v>
      </c>
      <c r="G85" s="211"/>
      <c r="H85" s="106"/>
      <c r="I85" s="106"/>
      <c r="J85" s="4"/>
      <c r="L85" s="97"/>
      <c r="AC85" s="4"/>
    </row>
    <row r="86" spans="1:29" ht="13.5" thickBot="1" x14ac:dyDescent="0.25">
      <c r="A86" s="49"/>
      <c r="B86" s="101">
        <v>56</v>
      </c>
      <c r="C86" s="104">
        <f t="shared" ca="1" si="1"/>
        <v>47313</v>
      </c>
      <c r="D86" s="163">
        <f t="shared" si="2"/>
        <v>0</v>
      </c>
      <c r="E86" s="162">
        <f t="shared" si="3"/>
        <v>0</v>
      </c>
      <c r="F86" s="211">
        <f t="shared" si="4"/>
        <v>0</v>
      </c>
      <c r="G86" s="211"/>
      <c r="H86" s="106"/>
      <c r="I86" s="106"/>
      <c r="J86" s="4"/>
      <c r="L86" s="97"/>
      <c r="AC86" s="4"/>
    </row>
    <row r="87" spans="1:29" ht="13.5" thickBot="1" x14ac:dyDescent="0.25">
      <c r="A87" s="49"/>
      <c r="B87" s="101">
        <v>57</v>
      </c>
      <c r="C87" s="104">
        <f t="shared" ca="1" si="1"/>
        <v>47344</v>
      </c>
      <c r="D87" s="163">
        <f t="shared" si="2"/>
        <v>0</v>
      </c>
      <c r="E87" s="162">
        <f t="shared" si="3"/>
        <v>0</v>
      </c>
      <c r="F87" s="211">
        <f t="shared" si="4"/>
        <v>0</v>
      </c>
      <c r="G87" s="211"/>
      <c r="H87" s="106"/>
      <c r="I87" s="106"/>
      <c r="J87" s="4"/>
      <c r="L87" s="97"/>
      <c r="AC87" s="4"/>
    </row>
    <row r="88" spans="1:29" ht="13.5" thickBot="1" x14ac:dyDescent="0.25">
      <c r="A88" s="49"/>
      <c r="B88" s="101">
        <v>58</v>
      </c>
      <c r="C88" s="104">
        <f t="shared" ca="1" si="1"/>
        <v>47375</v>
      </c>
      <c r="D88" s="163">
        <f t="shared" si="2"/>
        <v>0</v>
      </c>
      <c r="E88" s="162">
        <f t="shared" si="3"/>
        <v>0</v>
      </c>
      <c r="F88" s="211">
        <f t="shared" si="4"/>
        <v>0</v>
      </c>
      <c r="G88" s="211"/>
      <c r="H88" s="106"/>
      <c r="I88" s="106"/>
      <c r="J88" s="4"/>
      <c r="L88" s="97"/>
      <c r="AC88" s="4"/>
    </row>
    <row r="89" spans="1:29" ht="13.5" thickBot="1" x14ac:dyDescent="0.25">
      <c r="A89" s="49"/>
      <c r="B89" s="101">
        <v>59</v>
      </c>
      <c r="C89" s="104">
        <f t="shared" ca="1" si="1"/>
        <v>47405</v>
      </c>
      <c r="D89" s="163">
        <f t="shared" si="2"/>
        <v>0</v>
      </c>
      <c r="E89" s="162">
        <f t="shared" si="3"/>
        <v>0</v>
      </c>
      <c r="F89" s="211">
        <f t="shared" si="4"/>
        <v>0</v>
      </c>
      <c r="G89" s="211"/>
      <c r="H89" s="106"/>
      <c r="I89" s="106"/>
      <c r="J89" s="4"/>
      <c r="L89" s="97"/>
      <c r="AC89" s="4"/>
    </row>
    <row r="90" spans="1:29" ht="13.5" thickBot="1" x14ac:dyDescent="0.25">
      <c r="A90" s="49"/>
      <c r="B90" s="159">
        <v>60</v>
      </c>
      <c r="C90" s="160">
        <f t="shared" ca="1" si="1"/>
        <v>47436</v>
      </c>
      <c r="D90" s="163">
        <f t="shared" si="2"/>
        <v>0</v>
      </c>
      <c r="E90" s="162">
        <f t="shared" si="3"/>
        <v>0</v>
      </c>
      <c r="F90" s="245">
        <f t="shared" si="4"/>
        <v>0</v>
      </c>
      <c r="G90" s="245"/>
      <c r="H90" s="106"/>
      <c r="I90" s="106"/>
      <c r="J90" s="4"/>
      <c r="L90" s="97"/>
      <c r="AC90" s="4"/>
    </row>
    <row r="91" spans="1:29" ht="16.5" thickBot="1" x14ac:dyDescent="0.25">
      <c r="A91" s="49"/>
      <c r="B91" s="206" t="s">
        <v>3</v>
      </c>
      <c r="C91" s="207"/>
      <c r="D91" s="166">
        <f>SUM(D31:D90)</f>
        <v>50000</v>
      </c>
      <c r="E91" s="166">
        <f>SUM(E31:E90)</f>
        <v>15462.199963723764</v>
      </c>
      <c r="F91" s="243">
        <f>SUM(F31:G90)</f>
        <v>65462.199963723753</v>
      </c>
      <c r="G91" s="244"/>
      <c r="H91" s="106"/>
      <c r="I91" s="106"/>
      <c r="J91" s="4"/>
      <c r="L91" s="97"/>
      <c r="AC91" s="4"/>
    </row>
    <row r="92" spans="1:29" x14ac:dyDescent="0.2">
      <c r="A92" s="49"/>
      <c r="B92" s="2"/>
      <c r="C92" s="2"/>
      <c r="D92" s="2"/>
      <c r="E92" s="2"/>
      <c r="F92" s="2"/>
      <c r="G92" s="35"/>
      <c r="I92" s="106"/>
      <c r="J92" s="106"/>
    </row>
    <row r="93" spans="1:29" x14ac:dyDescent="0.2">
      <c r="A93" s="49"/>
      <c r="B93" s="2"/>
      <c r="C93" s="27"/>
      <c r="D93" s="28"/>
      <c r="E93" s="210" t="s">
        <v>5</v>
      </c>
      <c r="F93" s="210"/>
      <c r="G93" s="210"/>
      <c r="I93" s="106"/>
      <c r="J93" s="106"/>
    </row>
    <row r="94" spans="1:29" x14ac:dyDescent="0.2">
      <c r="A94" s="49"/>
      <c r="B94" s="2"/>
      <c r="C94" s="29"/>
      <c r="D94" s="2"/>
      <c r="E94" s="30" t="s">
        <v>6</v>
      </c>
      <c r="F94" s="31"/>
      <c r="G94" s="40"/>
      <c r="I94" s="106"/>
      <c r="J94" s="106"/>
    </row>
    <row r="95" spans="1:29" x14ac:dyDescent="0.2">
      <c r="A95" s="49"/>
      <c r="B95" s="50"/>
      <c r="C95" s="50"/>
      <c r="D95" s="50"/>
      <c r="E95" s="50"/>
      <c r="F95" s="50"/>
      <c r="G95" s="107"/>
      <c r="H95" s="51"/>
      <c r="I95" s="106"/>
      <c r="J95" s="106"/>
    </row>
    <row r="96" spans="1:29" x14ac:dyDescent="0.2">
      <c r="A96" s="49"/>
      <c r="B96" s="50"/>
      <c r="C96" s="50"/>
      <c r="D96" s="50"/>
      <c r="E96" s="50"/>
      <c r="F96" s="50"/>
      <c r="G96" s="107"/>
      <c r="H96" s="51"/>
      <c r="I96" s="52"/>
    </row>
    <row r="97" spans="1:9" x14ac:dyDescent="0.2">
      <c r="A97" s="49"/>
      <c r="B97" s="50"/>
      <c r="C97" s="50"/>
      <c r="D97" s="50"/>
      <c r="E97" s="50"/>
      <c r="F97" s="50"/>
      <c r="G97" s="107"/>
      <c r="H97" s="51"/>
      <c r="I97" s="52"/>
    </row>
    <row r="98" spans="1:9" x14ac:dyDescent="0.2">
      <c r="A98" s="49"/>
      <c r="B98" s="50"/>
      <c r="C98" s="50"/>
      <c r="D98" s="50"/>
      <c r="E98" s="50"/>
      <c r="F98" s="50"/>
      <c r="G98" s="107"/>
      <c r="H98" s="51"/>
      <c r="I98" s="52"/>
    </row>
  </sheetData>
  <sheetProtection algorithmName="SHA-512" hashValue="juVV+eo1tn5ZZiJ38kYky/csd3Mp+pLlQNAB7pJNikPFRsHlyDVEXf6XmdYRx1NyLoonF+eNmYnc+CoXJvhE+A==" saltValue="/b+w2B3Br28QxXfzTke+UA==" spinCount="100000" sheet="1" selectLockedCells="1"/>
  <dataConsolidate/>
  <mergeCells count="88">
    <mergeCell ref="B7:E7"/>
    <mergeCell ref="H1:I1"/>
    <mergeCell ref="H2:I2"/>
    <mergeCell ref="F3:F4"/>
    <mergeCell ref="H3:I3"/>
    <mergeCell ref="B5:E5"/>
    <mergeCell ref="B9:E9"/>
    <mergeCell ref="G9:H9"/>
    <mergeCell ref="B13:E13"/>
    <mergeCell ref="G13:H13"/>
    <mergeCell ref="B15:E15"/>
    <mergeCell ref="G15:H15"/>
    <mergeCell ref="B11:E11"/>
    <mergeCell ref="B17:E17"/>
    <mergeCell ref="G17:H17"/>
    <mergeCell ref="B20:E20"/>
    <mergeCell ref="G20:H20"/>
    <mergeCell ref="B22:E22"/>
    <mergeCell ref="G22:H22"/>
    <mergeCell ref="F36:G36"/>
    <mergeCell ref="B24:E24"/>
    <mergeCell ref="G24:H24"/>
    <mergeCell ref="B26:E26"/>
    <mergeCell ref="F29:G29"/>
    <mergeCell ref="F30:G30"/>
    <mergeCell ref="F31:G31"/>
    <mergeCell ref="F32:G32"/>
    <mergeCell ref="F33:G33"/>
    <mergeCell ref="F34:G34"/>
    <mergeCell ref="F35:G35"/>
    <mergeCell ref="B28:G28"/>
    <mergeCell ref="F48:G48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60:G60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72:G72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84:G84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B91:C91"/>
    <mergeCell ref="F91:G91"/>
    <mergeCell ref="E93:G93"/>
    <mergeCell ref="F85:G85"/>
    <mergeCell ref="F86:G86"/>
    <mergeCell ref="F87:G87"/>
    <mergeCell ref="F88:G88"/>
    <mergeCell ref="F89:G89"/>
    <mergeCell ref="F90:G90"/>
  </mergeCells>
  <dataValidations count="1">
    <dataValidation type="list" showInputMessage="1" showErrorMessage="1" sqref="H2:I2" xr:uid="{00000000-0002-0000-0600-000000000000}">
      <formula1>$K$18:$K$21</formula1>
    </dataValidation>
  </dataValidations>
  <pageMargins left="0.39370078740157483" right="0.35433070866141736" top="0.59055118110236227" bottom="0.59055118110236227" header="0.51181102362204722" footer="0.51181102362204722"/>
  <pageSetup paperSize="9" scale="63" firstPageNumber="2" orientation="portrait" verticalDpi="300" r:id="rId1"/>
  <headerFooter alignWithMargins="0"/>
  <rowBreaks count="1" manualBreakCount="1">
    <brk id="9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O14"/>
  <sheetViews>
    <sheetView zoomScale="85" zoomScaleNormal="85" workbookViewId="0">
      <selection activeCell="A7" sqref="A7"/>
    </sheetView>
  </sheetViews>
  <sheetFormatPr defaultColWidth="9.140625" defaultRowHeight="12.75" x14ac:dyDescent="0.2"/>
  <cols>
    <col min="1" max="1" width="31" style="111" customWidth="1"/>
    <col min="2" max="2" width="11.42578125" style="111" customWidth="1"/>
    <col min="3" max="5" width="9.140625" style="111"/>
    <col min="6" max="6" width="17.28515625" style="111" customWidth="1"/>
    <col min="7" max="7" width="16.85546875" style="111" customWidth="1"/>
    <col min="8" max="8" width="15.7109375" style="111" customWidth="1"/>
    <col min="9" max="11" width="9.140625" style="111" customWidth="1"/>
    <col min="12" max="14" width="17.42578125" style="111" customWidth="1"/>
    <col min="15" max="16384" width="9.140625" style="111"/>
  </cols>
  <sheetData>
    <row r="1" spans="1:15" ht="25.5" x14ac:dyDescent="0.2">
      <c r="B1" s="111" t="s">
        <v>19</v>
      </c>
      <c r="C1" s="111" t="s">
        <v>20</v>
      </c>
      <c r="D1" s="111" t="s">
        <v>21</v>
      </c>
      <c r="E1" s="182" t="s">
        <v>74</v>
      </c>
      <c r="F1" s="111" t="s">
        <v>22</v>
      </c>
      <c r="G1" s="111" t="s">
        <v>23</v>
      </c>
      <c r="K1" s="111" t="s">
        <v>14</v>
      </c>
      <c r="L1" s="111" t="s">
        <v>2</v>
      </c>
      <c r="M1" s="111" t="s">
        <v>29</v>
      </c>
      <c r="N1" s="111" t="s">
        <v>30</v>
      </c>
    </row>
    <row r="2" spans="1:15" x14ac:dyDescent="0.2">
      <c r="D2" s="114"/>
      <c r="E2" s="114"/>
      <c r="F2" s="114"/>
      <c r="G2" s="114"/>
      <c r="I2" s="111" t="s">
        <v>25</v>
      </c>
      <c r="J2" s="111" t="s">
        <v>24</v>
      </c>
      <c r="L2" s="115"/>
      <c r="M2" s="115"/>
      <c r="N2" s="115"/>
    </row>
    <row r="3" spans="1:15" x14ac:dyDescent="0.2">
      <c r="A3" s="111">
        <v>1</v>
      </c>
      <c r="B3" s="111">
        <v>2</v>
      </c>
      <c r="C3" s="111">
        <v>3</v>
      </c>
      <c r="D3" s="111">
        <v>4</v>
      </c>
      <c r="F3" s="111">
        <v>5</v>
      </c>
      <c r="G3" s="111">
        <v>6</v>
      </c>
      <c r="H3" s="111">
        <v>7</v>
      </c>
      <c r="I3" s="111">
        <v>8</v>
      </c>
      <c r="J3" s="111">
        <v>9</v>
      </c>
      <c r="K3" s="111">
        <v>10</v>
      </c>
      <c r="L3" s="111">
        <v>11</v>
      </c>
      <c r="M3" s="111">
        <v>12</v>
      </c>
      <c r="N3" s="111">
        <v>13</v>
      </c>
      <c r="O3" s="111">
        <v>14</v>
      </c>
    </row>
    <row r="4" spans="1:15" x14ac:dyDescent="0.2">
      <c r="A4" s="184" t="s">
        <v>76</v>
      </c>
      <c r="B4" s="184">
        <v>250000</v>
      </c>
      <c r="C4" s="184">
        <v>60</v>
      </c>
      <c r="D4" s="185">
        <v>0.89990000000000003</v>
      </c>
      <c r="E4" s="185">
        <f>D4-20%</f>
        <v>0.69989999999999997</v>
      </c>
      <c r="F4" s="185">
        <v>0</v>
      </c>
      <c r="G4" s="185">
        <v>0</v>
      </c>
      <c r="H4" s="184" t="s">
        <v>82</v>
      </c>
      <c r="I4" s="184">
        <v>250000</v>
      </c>
      <c r="J4" s="184"/>
      <c r="K4" s="184">
        <v>1</v>
      </c>
      <c r="L4" s="186">
        <v>3738.9128907694981</v>
      </c>
      <c r="M4" s="187">
        <v>0</v>
      </c>
      <c r="N4" s="189">
        <v>0</v>
      </c>
      <c r="O4" s="184">
        <v>1000</v>
      </c>
    </row>
    <row r="5" spans="1:15" x14ac:dyDescent="0.2">
      <c r="A5" s="184" t="s">
        <v>77</v>
      </c>
      <c r="B5" s="184">
        <v>250000</v>
      </c>
      <c r="C5" s="184">
        <v>36</v>
      </c>
      <c r="D5" s="185">
        <v>0.79990000000000006</v>
      </c>
      <c r="E5" s="185">
        <f t="shared" ref="E5:E7" si="0">D5-20%</f>
        <v>0.5999000000000001</v>
      </c>
      <c r="F5" s="185">
        <v>0</v>
      </c>
      <c r="G5" s="185">
        <v>0</v>
      </c>
      <c r="H5" s="184" t="s">
        <v>82</v>
      </c>
      <c r="I5" s="184">
        <v>250000</v>
      </c>
      <c r="J5" s="184"/>
      <c r="K5" s="184">
        <v>1</v>
      </c>
      <c r="L5" s="186">
        <v>3738.9128907694981</v>
      </c>
      <c r="M5" s="187">
        <v>0</v>
      </c>
      <c r="N5" s="188">
        <v>0</v>
      </c>
      <c r="O5" s="184">
        <v>1000</v>
      </c>
    </row>
    <row r="6" spans="1:15" x14ac:dyDescent="0.2">
      <c r="A6" s="184" t="s">
        <v>78</v>
      </c>
      <c r="B6" s="184">
        <v>250000</v>
      </c>
      <c r="C6" s="184">
        <v>24</v>
      </c>
      <c r="D6" s="185">
        <v>0.74990000000000001</v>
      </c>
      <c r="E6" s="185">
        <f t="shared" si="0"/>
        <v>0.54990000000000006</v>
      </c>
      <c r="F6" s="185">
        <v>0</v>
      </c>
      <c r="G6" s="185">
        <v>0</v>
      </c>
      <c r="H6" s="184" t="s">
        <v>82</v>
      </c>
      <c r="I6" s="184">
        <v>250000</v>
      </c>
      <c r="J6" s="184"/>
      <c r="K6" s="184">
        <v>1</v>
      </c>
      <c r="L6" s="186">
        <v>4234.5536931619117</v>
      </c>
      <c r="M6" s="187">
        <v>0</v>
      </c>
      <c r="N6" s="188">
        <v>0</v>
      </c>
      <c r="O6" s="184">
        <v>1000</v>
      </c>
    </row>
    <row r="7" spans="1:15" x14ac:dyDescent="0.2">
      <c r="A7" s="184" t="s">
        <v>79</v>
      </c>
      <c r="B7" s="184">
        <v>250000</v>
      </c>
      <c r="C7" s="184">
        <v>12</v>
      </c>
      <c r="D7" s="185">
        <v>0.69989999999999997</v>
      </c>
      <c r="E7" s="185">
        <f t="shared" si="0"/>
        <v>0.49989999999999996</v>
      </c>
      <c r="F7" s="185">
        <v>0</v>
      </c>
      <c r="G7" s="185">
        <v>0</v>
      </c>
      <c r="H7" s="184" t="s">
        <v>82</v>
      </c>
      <c r="I7" s="184">
        <v>250000</v>
      </c>
      <c r="J7" s="184"/>
      <c r="K7" s="184">
        <v>1</v>
      </c>
      <c r="L7" s="186">
        <v>6185.8466183236624</v>
      </c>
      <c r="M7" s="187">
        <v>0</v>
      </c>
      <c r="N7" s="188">
        <v>0</v>
      </c>
      <c r="O7" s="184">
        <v>1000</v>
      </c>
    </row>
    <row r="11" spans="1:15" x14ac:dyDescent="0.2">
      <c r="A11" s="184" t="s">
        <v>76</v>
      </c>
      <c r="B11" s="184">
        <v>250000</v>
      </c>
      <c r="C11" s="184">
        <v>60</v>
      </c>
      <c r="D11" s="185">
        <v>0.89990000000000003</v>
      </c>
      <c r="E11" s="185">
        <v>0</v>
      </c>
      <c r="F11" s="185">
        <v>0</v>
      </c>
      <c r="G11" s="184" t="s">
        <v>82</v>
      </c>
      <c r="H11" s="184">
        <v>250000</v>
      </c>
      <c r="I11" s="184"/>
      <c r="J11" s="184">
        <v>1</v>
      </c>
      <c r="K11" s="186">
        <v>3738.9128907694981</v>
      </c>
      <c r="L11" s="187">
        <v>0</v>
      </c>
      <c r="M11" s="188">
        <v>0</v>
      </c>
      <c r="N11" s="184">
        <v>1000</v>
      </c>
    </row>
    <row r="12" spans="1:15" x14ac:dyDescent="0.2">
      <c r="A12" s="184" t="s">
        <v>77</v>
      </c>
      <c r="B12" s="184">
        <v>250000</v>
      </c>
      <c r="C12" s="184">
        <v>36</v>
      </c>
      <c r="D12" s="185">
        <v>0.79990000000000006</v>
      </c>
      <c r="E12" s="185">
        <v>0</v>
      </c>
      <c r="F12" s="185">
        <v>0</v>
      </c>
      <c r="G12" s="184" t="s">
        <v>82</v>
      </c>
      <c r="H12" s="184">
        <v>250000</v>
      </c>
      <c r="I12" s="184"/>
      <c r="J12" s="184">
        <v>1</v>
      </c>
      <c r="K12" s="186">
        <v>3738.9128907694981</v>
      </c>
      <c r="L12" s="187">
        <v>0</v>
      </c>
      <c r="M12" s="188">
        <v>0</v>
      </c>
      <c r="N12" s="184">
        <v>1000</v>
      </c>
    </row>
    <row r="13" spans="1:15" x14ac:dyDescent="0.2">
      <c r="A13" s="184" t="s">
        <v>78</v>
      </c>
      <c r="B13" s="184">
        <v>250000</v>
      </c>
      <c r="C13" s="184">
        <v>24</v>
      </c>
      <c r="D13" s="185">
        <v>0.74990000000000001</v>
      </c>
      <c r="E13" s="185">
        <v>0</v>
      </c>
      <c r="F13" s="185">
        <v>0</v>
      </c>
      <c r="G13" s="184" t="s">
        <v>82</v>
      </c>
      <c r="H13" s="184">
        <v>250000</v>
      </c>
      <c r="I13" s="184"/>
      <c r="J13" s="184">
        <v>1</v>
      </c>
      <c r="K13" s="186">
        <v>4234.5536931619117</v>
      </c>
      <c r="L13" s="187">
        <v>0</v>
      </c>
      <c r="M13" s="188">
        <v>0</v>
      </c>
      <c r="N13" s="184">
        <v>1000</v>
      </c>
    </row>
    <row r="14" spans="1:15" x14ac:dyDescent="0.2">
      <c r="A14" s="184" t="s">
        <v>79</v>
      </c>
      <c r="B14" s="184">
        <v>250000</v>
      </c>
      <c r="C14" s="184">
        <v>12</v>
      </c>
      <c r="D14" s="185">
        <v>0.69989999999999997</v>
      </c>
      <c r="E14" s="185">
        <v>0</v>
      </c>
      <c r="F14" s="185">
        <v>0</v>
      </c>
      <c r="G14" s="184" t="s">
        <v>82</v>
      </c>
      <c r="H14" s="184">
        <v>250000</v>
      </c>
      <c r="I14" s="184"/>
      <c r="J14" s="184">
        <v>1</v>
      </c>
      <c r="K14" s="186">
        <v>6185.8466183236624</v>
      </c>
      <c r="L14" s="187">
        <v>0</v>
      </c>
      <c r="M14" s="188">
        <v>0</v>
      </c>
      <c r="N14" s="184">
        <v>1000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5"/>
  <dimension ref="A1:H35"/>
  <sheetViews>
    <sheetView zoomScale="70" zoomScaleNormal="70" workbookViewId="0">
      <selection activeCell="A20" sqref="A20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1" t="s">
        <v>15</v>
      </c>
      <c r="B1" s="252"/>
      <c r="C1" s="252"/>
      <c r="D1" s="253"/>
      <c r="E1" s="60">
        <v>5000</v>
      </c>
      <c r="F1" s="61" t="s">
        <v>10</v>
      </c>
      <c r="G1" s="61" t="s">
        <v>9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246" t="s">
        <v>72</v>
      </c>
      <c r="B3" s="247"/>
      <c r="C3" s="247"/>
      <c r="D3" s="248"/>
      <c r="E3" s="7"/>
      <c r="F3" s="8"/>
      <c r="G3" s="7"/>
    </row>
    <row r="4" spans="1:8" x14ac:dyDescent="0.2">
      <c r="A4" s="47"/>
      <c r="B4" s="47"/>
      <c r="C4" s="47"/>
      <c r="D4" s="47"/>
      <c r="E4" s="66"/>
      <c r="F4" s="158"/>
      <c r="G4" s="66"/>
    </row>
    <row r="5" spans="1:8" x14ac:dyDescent="0.2">
      <c r="A5" s="246" t="s">
        <v>73</v>
      </c>
      <c r="B5" s="247"/>
      <c r="C5" s="247"/>
      <c r="D5" s="248"/>
      <c r="E5" s="7"/>
      <c r="F5" s="8"/>
      <c r="G5" s="7"/>
    </row>
    <row r="6" spans="1:8" x14ac:dyDescent="0.2">
      <c r="A6" s="62"/>
      <c r="B6" s="4"/>
      <c r="C6" s="62"/>
      <c r="D6" s="4"/>
      <c r="E6" s="66"/>
      <c r="F6" s="64"/>
      <c r="G6" s="41"/>
      <c r="H6" s="4"/>
    </row>
    <row r="7" spans="1:8" x14ac:dyDescent="0.2">
      <c r="A7" s="246" t="s">
        <v>57</v>
      </c>
      <c r="B7" s="247"/>
      <c r="C7" s="247"/>
      <c r="D7" s="248"/>
      <c r="E7" s="7"/>
      <c r="F7" s="8"/>
      <c r="G7" s="8"/>
    </row>
    <row r="8" spans="1:8" x14ac:dyDescent="0.2">
      <c r="A8" s="62"/>
      <c r="B8" s="4"/>
      <c r="C8" s="62"/>
      <c r="D8" s="4"/>
      <c r="E8" s="67"/>
      <c r="F8" s="64"/>
      <c r="G8" s="41"/>
      <c r="H8" s="4"/>
    </row>
    <row r="9" spans="1:8" x14ac:dyDescent="0.2">
      <c r="A9" s="246" t="s">
        <v>58</v>
      </c>
      <c r="B9" s="247"/>
      <c r="C9" s="247"/>
      <c r="D9" s="248"/>
      <c r="E9" s="7"/>
      <c r="F9" s="8"/>
      <c r="G9" s="8"/>
    </row>
    <row r="10" spans="1:8" x14ac:dyDescent="0.2">
      <c r="A10" s="62"/>
      <c r="B10" s="4"/>
      <c r="C10" s="62"/>
      <c r="D10" s="4"/>
      <c r="E10" s="66"/>
      <c r="F10" s="64"/>
      <c r="G10" s="41"/>
      <c r="H10" s="4"/>
    </row>
    <row r="11" spans="1:8" x14ac:dyDescent="0.2">
      <c r="A11" s="246" t="s">
        <v>71</v>
      </c>
      <c r="B11" s="247"/>
      <c r="C11" s="247"/>
      <c r="D11" s="248"/>
      <c r="E11" s="68"/>
      <c r="F11" s="8"/>
      <c r="G11" s="8"/>
    </row>
    <row r="12" spans="1:8" x14ac:dyDescent="0.2">
      <c r="A12" s="69"/>
      <c r="B12" s="12"/>
      <c r="C12" s="69"/>
      <c r="D12" s="70"/>
      <c r="E12" s="46"/>
      <c r="F12" s="64"/>
      <c r="G12" s="71"/>
      <c r="H12" s="12"/>
    </row>
    <row r="13" spans="1:8" x14ac:dyDescent="0.2">
      <c r="A13" s="69"/>
      <c r="B13" s="12"/>
      <c r="C13" s="69"/>
      <c r="D13" s="72"/>
      <c r="E13" s="46"/>
      <c r="F13" s="64"/>
      <c r="G13" s="71"/>
      <c r="H13" s="12"/>
    </row>
    <row r="14" spans="1:8" x14ac:dyDescent="0.2">
      <c r="A14" s="246" t="s">
        <v>70</v>
      </c>
      <c r="B14" s="247"/>
      <c r="C14" s="247"/>
      <c r="D14" s="248"/>
      <c r="E14" s="13"/>
      <c r="F14" s="13"/>
      <c r="G14" s="14"/>
      <c r="H14" s="12"/>
    </row>
    <row r="15" spans="1:8" x14ac:dyDescent="0.2">
      <c r="A15" s="47"/>
      <c r="B15" s="47"/>
      <c r="C15" s="47"/>
      <c r="D15" s="47"/>
      <c r="E15" s="73"/>
      <c r="F15" s="74"/>
      <c r="G15" s="75"/>
      <c r="H15" s="12"/>
    </row>
    <row r="16" spans="1:8" x14ac:dyDescent="0.2">
      <c r="A16" s="246" t="s">
        <v>64</v>
      </c>
      <c r="B16" s="247"/>
      <c r="C16" s="247"/>
      <c r="D16" s="248"/>
      <c r="E16" s="58"/>
      <c r="F16" s="59"/>
      <c r="G16" s="14"/>
      <c r="H16" s="12"/>
    </row>
    <row r="17" spans="1:8" x14ac:dyDescent="0.2">
      <c r="A17" s="65"/>
      <c r="B17" s="65"/>
      <c r="C17" s="65"/>
      <c r="D17" s="65"/>
      <c r="E17" s="76"/>
      <c r="F17" s="74"/>
      <c r="G17" s="75"/>
      <c r="H17" s="12"/>
    </row>
    <row r="18" spans="1:8" x14ac:dyDescent="0.2">
      <c r="A18" s="246" t="s">
        <v>69</v>
      </c>
      <c r="B18" s="247"/>
      <c r="C18" s="247"/>
      <c r="D18" s="248"/>
      <c r="E18" s="21"/>
      <c r="F18" s="8"/>
      <c r="G18" s="8"/>
      <c r="H18" s="12"/>
    </row>
    <row r="19" spans="1:8" x14ac:dyDescent="0.2">
      <c r="A19" s="47"/>
      <c r="B19" s="47"/>
      <c r="C19" s="47"/>
      <c r="D19" s="47"/>
      <c r="E19" s="157"/>
      <c r="F19" s="158"/>
      <c r="G19" s="158"/>
      <c r="H19" s="12"/>
    </row>
    <row r="20" spans="1:8" x14ac:dyDescent="0.2">
      <c r="A20" s="47" t="s">
        <v>75</v>
      </c>
      <c r="B20" s="47"/>
      <c r="C20" s="47"/>
      <c r="D20" s="47"/>
      <c r="E20" s="157"/>
      <c r="F20" s="158"/>
      <c r="G20" s="158"/>
      <c r="H20" s="12"/>
    </row>
    <row r="21" spans="1:8" x14ac:dyDescent="0.2">
      <c r="A21" s="47"/>
      <c r="B21" s="47"/>
      <c r="C21" s="47"/>
      <c r="D21" s="47"/>
      <c r="E21" s="66"/>
      <c r="F21" s="74"/>
      <c r="G21" s="75"/>
      <c r="H21" s="12"/>
    </row>
    <row r="22" spans="1:8" ht="33.75" x14ac:dyDescent="0.2">
      <c r="A22" s="249" t="s">
        <v>7</v>
      </c>
      <c r="B22" s="250"/>
      <c r="C22" s="77" t="s">
        <v>2</v>
      </c>
      <c r="D22" s="78" t="s">
        <v>27</v>
      </c>
      <c r="E22" s="79" t="s">
        <v>12</v>
      </c>
      <c r="F22" s="79" t="s">
        <v>11</v>
      </c>
      <c r="G22" s="79" t="s">
        <v>13</v>
      </c>
      <c r="H22" s="79" t="s">
        <v>26</v>
      </c>
    </row>
    <row r="23" spans="1:8" x14ac:dyDescent="0.2">
      <c r="A23" s="254" t="s">
        <v>18</v>
      </c>
      <c r="B23" s="255"/>
      <c r="C23" s="38">
        <f>IF(ISERROR(L18),"",L18)</f>
        <v>0</v>
      </c>
      <c r="D23" s="38">
        <f>IF(ISERROR(L14),"",L14)</f>
        <v>0</v>
      </c>
      <c r="E23" s="55">
        <f>IF(ISERROR(L16),"",L16)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254" t="s">
        <v>8</v>
      </c>
      <c r="B24" s="255"/>
      <c r="C24" s="39">
        <f>IF(ISERROR(M18),"",M18)</f>
        <v>0</v>
      </c>
      <c r="D24" s="39">
        <f>IF(ISERROR(M14),"",M14)</f>
        <v>0</v>
      </c>
      <c r="E24" s="56">
        <f>IF(ISERROR(M16),"",M16)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254" t="s">
        <v>16</v>
      </c>
      <c r="B25" s="255"/>
      <c r="C25" s="39">
        <f>IF(ISERROR(N18),"",N18)</f>
        <v>0</v>
      </c>
      <c r="D25" s="39">
        <f>IF(ISERROR(N14),"",N14)</f>
        <v>0</v>
      </c>
      <c r="E25" s="56">
        <f>IF(ISERROR(N16),"",N16)</f>
        <v>0</v>
      </c>
      <c r="F25" s="22" t="str">
        <f>IF(ISERROR(D25/#REF!),"",D25/#REF!)</f>
        <v/>
      </c>
      <c r="G25" s="23" t="str">
        <f>IF(ISERROR(D25/#REF!/F$3),"",D25/#REF!/F$3)</f>
        <v/>
      </c>
      <c r="H25" s="23" t="str">
        <f>IF(ISERROR(C25/F$3),"",C25/F$3)</f>
        <v/>
      </c>
    </row>
    <row r="26" spans="1:8" x14ac:dyDescent="0.2">
      <c r="A26" s="254" t="s">
        <v>17</v>
      </c>
      <c r="B26" s="255"/>
      <c r="C26" s="39">
        <f>IF(ISERROR(O18),"",O18)</f>
        <v>0</v>
      </c>
      <c r="D26" s="39">
        <f>IF(ISERROR(O14),"",O14)</f>
        <v>0</v>
      </c>
      <c r="E26" s="56">
        <f>IF(ISERROR(O16),"",O16)</f>
        <v>0</v>
      </c>
      <c r="F26" s="22" t="str">
        <f>IF(ISERROR(D26/#REF!),"",D26/#REF!)</f>
        <v/>
      </c>
      <c r="G26" s="23" t="str">
        <f>IF(ISERROR(D26/#REF!/F$3),"",D26/#REF!/F$3)</f>
        <v/>
      </c>
      <c r="H26" s="23" t="str">
        <f>IF(ISERROR(C26/F$3),"",C26/F$3)</f>
        <v/>
      </c>
    </row>
    <row r="27" spans="1:8" x14ac:dyDescent="0.2">
      <c r="A27" s="62"/>
      <c r="B27" s="47"/>
      <c r="C27" s="62"/>
      <c r="D27" s="80"/>
      <c r="E27" s="4"/>
      <c r="F27" s="41"/>
      <c r="G27" s="64"/>
      <c r="H27" s="4"/>
    </row>
    <row r="28" spans="1:8" ht="13.5" thickBot="1" x14ac:dyDescent="0.25">
      <c r="A28" s="81"/>
      <c r="B28" s="47"/>
      <c r="C28" s="81"/>
      <c r="D28" s="82"/>
      <c r="E28" s="83"/>
      <c r="F28" s="75"/>
      <c r="G28" s="74"/>
      <c r="H28" s="12"/>
    </row>
    <row r="29" spans="1:8" ht="18.75" thickBot="1" x14ac:dyDescent="0.25">
      <c r="A29" s="261" t="s">
        <v>63</v>
      </c>
      <c r="B29" s="262"/>
      <c r="C29" s="262"/>
      <c r="D29" s="262"/>
      <c r="E29" s="262"/>
      <c r="F29" s="262"/>
      <c r="G29" s="183"/>
    </row>
    <row r="30" spans="1:8" ht="45.75" thickBot="1" x14ac:dyDescent="0.25">
      <c r="A30" s="257" t="s">
        <v>4</v>
      </c>
      <c r="B30" s="258"/>
      <c r="C30" s="84" t="s">
        <v>61</v>
      </c>
      <c r="D30" s="84" t="s">
        <v>59</v>
      </c>
      <c r="E30" s="84" t="s">
        <v>60</v>
      </c>
      <c r="F30" s="259" t="s">
        <v>62</v>
      </c>
      <c r="G30" s="260"/>
    </row>
    <row r="31" spans="1:8" x14ac:dyDescent="0.2">
      <c r="A31" s="4"/>
      <c r="B31" s="4"/>
      <c r="C31" s="4"/>
      <c r="D31" s="4"/>
      <c r="E31" s="4"/>
      <c r="F31" s="41"/>
      <c r="G31" s="64"/>
    </row>
    <row r="32" spans="1:8" x14ac:dyDescent="0.2">
      <c r="A32" s="4" t="s">
        <v>5</v>
      </c>
      <c r="B32" s="85"/>
      <c r="C32" s="86"/>
      <c r="D32" s="256"/>
      <c r="E32" s="256"/>
      <c r="F32" s="256"/>
      <c r="G32" s="64"/>
    </row>
    <row r="33" spans="1:7" x14ac:dyDescent="0.2">
      <c r="A33" s="4" t="s">
        <v>6</v>
      </c>
      <c r="B33" s="87"/>
      <c r="C33" s="4"/>
      <c r="D33" s="33"/>
      <c r="E33" s="34"/>
      <c r="F33" s="88"/>
      <c r="G33" s="64"/>
    </row>
    <row r="35" spans="1:7" x14ac:dyDescent="0.2">
      <c r="A35" t="s">
        <v>28</v>
      </c>
      <c r="B35">
        <v>30.4</v>
      </c>
    </row>
  </sheetData>
  <sheetProtection selectLockedCells="1"/>
  <mergeCells count="18">
    <mergeCell ref="A23:B23"/>
    <mergeCell ref="A24:B24"/>
    <mergeCell ref="D32:F32"/>
    <mergeCell ref="A26:B26"/>
    <mergeCell ref="A30:B30"/>
    <mergeCell ref="F30:G30"/>
    <mergeCell ref="A25:B25"/>
    <mergeCell ref="A29:F29"/>
    <mergeCell ref="A14:D14"/>
    <mergeCell ref="A16:D16"/>
    <mergeCell ref="A18:D18"/>
    <mergeCell ref="A22:B22"/>
    <mergeCell ref="A1:D1"/>
    <mergeCell ref="A3:D3"/>
    <mergeCell ref="A7:D7"/>
    <mergeCell ref="A9:D9"/>
    <mergeCell ref="A11:D11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"/>
  <sheetViews>
    <sheetView zoomScale="85" zoomScaleNormal="85" workbookViewId="0">
      <selection activeCell="A4" sqref="A4"/>
    </sheetView>
  </sheetViews>
  <sheetFormatPr defaultColWidth="9.140625" defaultRowHeight="12.75" x14ac:dyDescent="0.2"/>
  <cols>
    <col min="1" max="1" width="31" style="111" customWidth="1"/>
    <col min="2" max="2" width="11.42578125" style="111" customWidth="1"/>
    <col min="3" max="5" width="9.140625" style="111"/>
    <col min="6" max="6" width="17.28515625" style="111" customWidth="1"/>
    <col min="7" max="7" width="16.85546875" style="111" customWidth="1"/>
    <col min="8" max="8" width="15.7109375" style="111" customWidth="1"/>
    <col min="9" max="11" width="9.140625" style="111" customWidth="1"/>
    <col min="12" max="14" width="17.42578125" style="111" customWidth="1"/>
    <col min="15" max="16384" width="9.140625" style="111"/>
  </cols>
  <sheetData>
    <row r="1" spans="1:15" ht="25.5" x14ac:dyDescent="0.2">
      <c r="B1" s="111" t="s">
        <v>19</v>
      </c>
      <c r="C1" s="111" t="s">
        <v>20</v>
      </c>
      <c r="D1" s="111" t="s">
        <v>21</v>
      </c>
      <c r="E1" s="182" t="s">
        <v>74</v>
      </c>
      <c r="F1" s="111" t="s">
        <v>22</v>
      </c>
      <c r="G1" s="111" t="s">
        <v>23</v>
      </c>
      <c r="K1" s="111" t="s">
        <v>14</v>
      </c>
      <c r="L1" s="111" t="s">
        <v>2</v>
      </c>
      <c r="M1" s="111" t="s">
        <v>29</v>
      </c>
      <c r="N1" s="111" t="s">
        <v>30</v>
      </c>
    </row>
    <row r="2" spans="1:15" x14ac:dyDescent="0.2">
      <c r="D2" s="114"/>
      <c r="E2" s="114"/>
      <c r="F2" s="114"/>
      <c r="G2" s="114"/>
      <c r="I2" s="111" t="s">
        <v>25</v>
      </c>
      <c r="J2" s="111" t="s">
        <v>24</v>
      </c>
      <c r="L2" s="115"/>
      <c r="M2" s="115"/>
      <c r="N2" s="115"/>
    </row>
    <row r="3" spans="1:15" x14ac:dyDescent="0.2">
      <c r="A3" s="111">
        <v>1</v>
      </c>
      <c r="B3" s="111">
        <v>2</v>
      </c>
      <c r="C3" s="111">
        <v>3</v>
      </c>
      <c r="D3" s="111">
        <v>4</v>
      </c>
      <c r="F3" s="111">
        <v>5</v>
      </c>
      <c r="G3" s="111">
        <v>6</v>
      </c>
      <c r="H3" s="111">
        <v>7</v>
      </c>
      <c r="I3" s="111">
        <v>8</v>
      </c>
      <c r="J3" s="111">
        <v>9</v>
      </c>
      <c r="K3" s="111">
        <v>10</v>
      </c>
      <c r="L3" s="111">
        <v>11</v>
      </c>
      <c r="M3" s="111">
        <v>12</v>
      </c>
      <c r="N3" s="111">
        <v>13</v>
      </c>
      <c r="O3" s="111">
        <v>14</v>
      </c>
    </row>
    <row r="4" spans="1:15" x14ac:dyDescent="0.2">
      <c r="A4" s="184" t="s">
        <v>76</v>
      </c>
      <c r="B4" s="184">
        <v>250000</v>
      </c>
      <c r="C4" s="184">
        <v>60</v>
      </c>
      <c r="D4" s="185">
        <v>0.89990000000000003</v>
      </c>
      <c r="E4" s="185">
        <v>0</v>
      </c>
      <c r="F4" s="185">
        <v>0</v>
      </c>
      <c r="G4" s="184" t="s">
        <v>80</v>
      </c>
      <c r="H4" s="184">
        <v>250000</v>
      </c>
      <c r="I4" s="184"/>
      <c r="J4" s="184">
        <v>1</v>
      </c>
      <c r="K4" s="186">
        <v>3738.9128907694981</v>
      </c>
      <c r="L4" s="187">
        <v>0</v>
      </c>
      <c r="M4" s="188">
        <v>0</v>
      </c>
      <c r="N4" s="184">
        <v>1000</v>
      </c>
    </row>
    <row r="5" spans="1:15" x14ac:dyDescent="0.2">
      <c r="A5" s="184" t="s">
        <v>77</v>
      </c>
      <c r="B5" s="184">
        <v>250000</v>
      </c>
      <c r="C5" s="184">
        <v>36</v>
      </c>
      <c r="D5" s="185">
        <v>0.79990000000000006</v>
      </c>
      <c r="E5" s="185">
        <v>0</v>
      </c>
      <c r="F5" s="185">
        <v>0</v>
      </c>
      <c r="G5" s="184" t="s">
        <v>81</v>
      </c>
      <c r="H5" s="184">
        <v>250000</v>
      </c>
      <c r="I5" s="184"/>
      <c r="J5" s="184">
        <v>1</v>
      </c>
      <c r="K5" s="186">
        <v>3738.9128907694981</v>
      </c>
      <c r="L5" s="187">
        <v>0</v>
      </c>
      <c r="M5" s="188">
        <v>0</v>
      </c>
      <c r="N5" s="184">
        <v>1000</v>
      </c>
    </row>
    <row r="6" spans="1:15" x14ac:dyDescent="0.2">
      <c r="A6" s="184" t="s">
        <v>78</v>
      </c>
      <c r="B6" s="184">
        <v>250000</v>
      </c>
      <c r="C6" s="184">
        <v>24</v>
      </c>
      <c r="D6" s="185">
        <v>0.74990000000000001</v>
      </c>
      <c r="E6" s="185">
        <v>0</v>
      </c>
      <c r="F6" s="185">
        <v>0</v>
      </c>
      <c r="G6" s="184" t="s">
        <v>81</v>
      </c>
      <c r="H6" s="184">
        <v>250000</v>
      </c>
      <c r="I6" s="184"/>
      <c r="J6" s="184">
        <v>1</v>
      </c>
      <c r="K6" s="186">
        <v>4234.5536931619117</v>
      </c>
      <c r="L6" s="187">
        <v>0</v>
      </c>
      <c r="M6" s="188">
        <v>0</v>
      </c>
      <c r="N6" s="184">
        <v>1000</v>
      </c>
    </row>
    <row r="7" spans="1:15" x14ac:dyDescent="0.2">
      <c r="A7" s="184" t="s">
        <v>79</v>
      </c>
      <c r="B7" s="184">
        <v>250000</v>
      </c>
      <c r="C7" s="184">
        <v>12</v>
      </c>
      <c r="D7" s="185">
        <v>0.69989999999999997</v>
      </c>
      <c r="E7" s="185">
        <v>0</v>
      </c>
      <c r="F7" s="185">
        <v>0</v>
      </c>
      <c r="G7" s="184" t="s">
        <v>81</v>
      </c>
      <c r="H7" s="184">
        <v>250000</v>
      </c>
      <c r="I7" s="184"/>
      <c r="J7" s="184">
        <v>1</v>
      </c>
      <c r="K7" s="186">
        <v>6185.8466183236624</v>
      </c>
      <c r="L7" s="187">
        <v>0</v>
      </c>
      <c r="M7" s="188">
        <v>0</v>
      </c>
      <c r="N7" s="184">
        <v>1000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Головна</vt:lpstr>
      <vt:lpstr>Цільовий OLX</vt:lpstr>
      <vt:lpstr>Цільовий OLX_-20%</vt:lpstr>
      <vt:lpstr>Лист2</vt:lpstr>
      <vt:lpstr>Назви</vt:lpstr>
      <vt:lpstr>Лист3</vt:lpstr>
      <vt:lpstr>Головна!Область_друку</vt:lpstr>
      <vt:lpstr>'Цільовий OLX'!Область_друку</vt:lpstr>
      <vt:lpstr>'Цільовий OLX_-20%'!Область_друку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2024-11-14T14:06:54Z</dcterms:modified>
</cp:coreProperties>
</file>