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E58D1C4D-E3FB-4995-B140-C872E34C9C5D}" xr6:coauthVersionLast="47" xr6:coauthVersionMax="47" xr10:uidLastSave="{00000000-0000-0000-0000-000000000000}"/>
  <workbookProtection workbookAlgorithmName="SHA-512" workbookHashValue="j0DwRMw3NEUZ+sHvTpSsXODNf7d4ui2Bwa6KCEHnEuynhTUf+qwo9/1FAN7EqSKGJDxPlhyr94c0RSU6U0mrig==" workbookSaltValue="ZchGHMxJMfgzotkf6szO0Q==" workbookSpinCount="100000" lockStructure="1"/>
  <bookViews>
    <workbookView xWindow="-120" yWindow="-120" windowWidth="29040" windowHeight="15990" tabRatio="863" xr2:uid="{00000000-000D-0000-FFFF-FFFF00000000}"/>
  </bookViews>
  <sheets>
    <sheet name="Satellite_0-3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'Satellite_0-3-24'!$A$1:$I$103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H4" i="165"/>
  <c r="E2" i="164" l="1"/>
  <c r="G39" i="164" l="1"/>
  <c r="L9" i="164" l="1"/>
  <c r="L10" i="164"/>
  <c r="G4" i="165" l="1"/>
  <c r="L17" i="164" l="1"/>
  <c r="L12" i="164" l="1"/>
  <c r="L13" i="164"/>
  <c r="L14" i="164"/>
  <c r="L15" i="164"/>
  <c r="L16" i="164"/>
  <c r="G2" i="164" l="1"/>
  <c r="B28" i="164"/>
  <c r="B26" i="164"/>
  <c r="B24" i="164"/>
  <c r="B11" i="164"/>
  <c r="F17" i="164" l="1"/>
  <c r="L8" i="164"/>
  <c r="L11" i="164"/>
  <c r="M4" i="165"/>
  <c r="L7" i="164"/>
  <c r="H3" i="164" l="1"/>
  <c r="F2" i="164"/>
  <c r="F21" i="164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64" i="164" l="1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F66" i="164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3" i="164"/>
  <c r="F47" i="164"/>
  <c r="F51" i="164"/>
  <c r="F55" i="164"/>
  <c r="F59" i="164"/>
  <c r="F63" i="164"/>
  <c r="F44" i="164"/>
  <c r="F48" i="164"/>
  <c r="F52" i="164"/>
  <c r="F56" i="164"/>
  <c r="F60" i="164"/>
  <c r="F40" i="164"/>
  <c r="F41" i="164"/>
  <c r="F45" i="164"/>
  <c r="F49" i="164"/>
  <c r="F53" i="164"/>
  <c r="F57" i="164"/>
  <c r="F61" i="164"/>
  <c r="F42" i="164"/>
  <c r="F46" i="164"/>
  <c r="F50" i="164"/>
  <c r="F54" i="164"/>
  <c r="F58" i="164"/>
  <c r="F62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<sst xmlns="http://schemas.openxmlformats.org/spreadsheetml/2006/main" count="169" uniqueCount="161">
  <si>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</si>
  <si>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</si>
  <si>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</si>
  <si>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</si>
  <si>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</si>
  <si>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</si>
  <si>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</si>
  <si>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</si>
  <si>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</si>
  <si>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</si>
  <si>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</si>
  <si>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</si>
  <si>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</si>
  <si>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</si>
  <si>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</si>
  <si>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</si>
  <si>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</si>
  <si>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</si>
  <si>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</si>
  <si>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</si>
  <si>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</si>
  <si>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</si>
  <si>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</si>
  <si>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</si>
  <si>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</si>
  <si>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</si>
  <si>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</si>
  <si>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</si>
  <si>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</si>
  <si>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</si>
  <si>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</si>
  <si>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</si>
  <si>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</si>
  <si>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</si>
  <si>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</si>
  <si>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</si>
  <si>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</si>
  <si>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</si>
  <si>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</si>
  <si>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</si>
  <si>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</si>
  <si>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</si>
  <si>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</si>
  <si>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</si>
  <si>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</si>
  <si>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</si>
  <si>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</si>
  <si>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</si>
  <si>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</si>
  <si>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</si>
  <si>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</si>
  <si>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</si>
  <si>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</si>
  <si>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</si>
  <si>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</si>
  <si>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</si>
  <si>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</si>
  <si>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</si>
  <si>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</si>
  <si>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</si>
  <si>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</si>
  <si>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</si>
  <si>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</si>
  <si>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</si>
  <si>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</si>
  <si>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</si>
  <si>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</si>
  <si>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</si>
  <si>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</si>
  <si>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</si>
  <si>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</si>
  <si>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</si>
  <si>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</si>
  <si>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</si>
  <si>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</si>
  <si>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</si>
  <si>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</si>
  <si>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</si>
  <si>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</si>
  <si>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</si>
  <si>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</si>
  <si>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</si>
  <si>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</si>
  <si>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</si>
  <si>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</si>
  <si>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</si>
  <si>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</si>
  <si>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</si>
  <si>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</si>
  <si>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</si>
  <si>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</si>
  <si>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</si>
  <si>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</si>
  <si>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</si>
  <si>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</si>
  <si>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</si>
  <si>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</si>
  <si>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</si>
  <si>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</si>
  <si>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</si>
  <si>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</si>
  <si>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</si>
  <si>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</si>
  <si>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</si>
  <si>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</si>
  <si>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</si>
  <si>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</si>
  <si>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</si>
  <si>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</si>
  <si>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</si>
  <si>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</si>
  <si>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</si>
  <si>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</si>
  <si>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</si>
  <si>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</si>
  <si>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</si>
  <si>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</si>
  <si>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</si>
  <si>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</si>
  <si>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</si>
  <si>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</si>
  <si>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</si>
  <si>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</si>
  <si>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</si>
  <si>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</si>
  <si>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</si>
  <si>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</si>
  <si>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</si>
  <si>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</si>
  <si>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</si>
  <si>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</si>
  <si>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</si>
  <si>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</si>
  <si>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</si>
  <si>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</si>
  <si>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</si>
  <si>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</si>
  <si>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</si>
  <si>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</si>
  <si>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</si>
  <si>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</si>
  <si>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</si>
  <si>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</si>
  <si>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</si>
  <si>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</si>
  <si>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</si>
  <si>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</si>
  <si>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</si>
  <si>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</si>
  <si>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</si>
  <si>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</si>
  <si>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</si>
  <si>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</si>
  <si>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</si>
  <si>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</si>
  <si>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</si>
  <si>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</si>
  <si>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</si>
  <si>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</si>
  <si>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</si>
  <si>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Satellite_Грейс3_24міс.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</si>
</sst>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hidden="1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0" style="97" hidden="1" customWidth="1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">
      <c r="A2" s="2"/>
      <c r="B2" s="88"/>
      <c r="C2" s="88"/>
      <c r="D2" s="88"/>
      <c r="E2" s="109">
        <f>VLOOKUP('Satellite_0-3-24'!H2,Лист2!A:P,16,FALSE)</f>
        <v>1000</v>
      </c>
      <c r="F2" s="132">
        <f>VLOOKUP(H$2,Лист2!$A:$H,8,0)</f>
        <v>30000</v>
      </c>
      <c r="G2" s="177">
        <f ca="1">TODAY()</f>
        <v>45650</v>
      </c>
      <c r="H2" s="193" t="s">
        <v>160</v>
      </c>
      <c r="I2" s="194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30000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f>VLOOKUP(H$2,Лист2!$A:$H,8,0)</f>
        <v>30000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" thickBot="1" x14ac:dyDescent="0.25">
      <c r="A5" s="1"/>
      <c r="B5" s="199" t="s">
        <v>42</v>
      </c>
      <c r="C5" s="200"/>
      <c r="D5" s="200"/>
      <c r="E5" s="201"/>
      <c r="F5" s="161">
        <v>29400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0" t="s">
        <v>43</v>
      </c>
      <c r="C7" s="191"/>
      <c r="D7" s="191"/>
      <c r="E7" s="192"/>
      <c r="F7" s="163">
        <f>F5+F5*F11+F15+F5*F17</f>
        <v>30000</v>
      </c>
      <c r="G7" s="164"/>
      <c r="H7" s="165"/>
      <c r="I7" s="42"/>
      <c r="J7" s="4"/>
      <c r="K7" s="37"/>
      <c r="L7" s="51" t="str">
        <f>Лист2!A4</f>
        <v>Satellite_Грейс3_24міс.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6" t="s">
        <v>41</v>
      </c>
      <c r="C13" s="206"/>
      <c r="D13" s="206"/>
      <c r="E13" s="204"/>
      <c r="F13" s="140">
        <f>VLOOKUP(H$2,Лист2!$A:$J,9,0)</f>
        <v>3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6" t="s">
        <v>39</v>
      </c>
      <c r="C15" s="206"/>
      <c r="D15" s="206"/>
      <c r="E15" s="204"/>
      <c r="F15" s="156">
        <f>VLOOKUP(H$2,Лист2!$A:$J,10,0)</f>
        <v>600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6" t="s">
        <v>40</v>
      </c>
      <c r="C17" s="206"/>
      <c r="D17" s="206"/>
      <c r="E17" s="206"/>
      <c r="F17" s="134">
        <f>VLOOKUP(H$2,Лист2!$A:$K,11,0)</f>
        <v>0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30000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G100-F5</f>
        <v>32043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F5+F24</f>
        <v>61443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1.095860326290131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45650</v>
      </c>
      <c r="D39" s="91"/>
      <c r="E39" s="92"/>
      <c r="F39" s="91"/>
      <c r="G39" s="158">
        <f>-F5</f>
        <v>-29400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45681</v>
      </c>
      <c r="D40" s="19">
        <f>IF(B40&lt;=$F$21,$F$7/$F$21,0)</f>
        <v>1250</v>
      </c>
      <c r="E40" s="20">
        <f>IF(AND(B40&gt;F$13,B40&lt;=$F$21),F$7*F$19,0)</f>
        <v>0</v>
      </c>
      <c r="F40" s="182">
        <f>IF(B40&lt;=$F$21,F$7*F$9/12,0)</f>
        <v>0.25</v>
      </c>
      <c r="G40" s="208">
        <f t="shared" ref="G40:G71" si="0">IF(B$40&lt;=F$21,D40+E40+F40,0)</f>
        <v>1250.25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45712</v>
      </c>
      <c r="D41" s="19">
        <f t="shared" ref="D41:D87" si="2">IF(B41&lt;=$F$21,$F$7/$F$21,0)</f>
        <v>1250</v>
      </c>
      <c r="E41" s="20">
        <f t="shared" ref="E41:E99" si="3">IF(AND(B41&gt;F$13,B41&lt;=$F$21),F$7*F$19,0)</f>
        <v>0</v>
      </c>
      <c r="F41" s="182">
        <f t="shared" ref="F41:F99" si="4">IF(B41&lt;=$F$21,F$7*F$9/12,0)</f>
        <v>0.25</v>
      </c>
      <c r="G41" s="208">
        <f t="shared" si="0"/>
        <v>1250.25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45740</v>
      </c>
      <c r="D42" s="19">
        <f t="shared" si="2"/>
        <v>1250</v>
      </c>
      <c r="E42" s="20">
        <f t="shared" si="3"/>
        <v>0</v>
      </c>
      <c r="F42" s="182">
        <f t="shared" si="4"/>
        <v>0.25</v>
      </c>
      <c r="G42" s="208">
        <f t="shared" si="0"/>
        <v>1250.25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45771</v>
      </c>
      <c r="D43" s="19">
        <f t="shared" si="2"/>
        <v>1250</v>
      </c>
      <c r="E43" s="20">
        <f t="shared" si="3"/>
        <v>1497</v>
      </c>
      <c r="F43" s="182">
        <f t="shared" si="4"/>
        <v>0.25</v>
      </c>
      <c r="G43" s="208">
        <f t="shared" si="0"/>
        <v>2747.25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45801</v>
      </c>
      <c r="D44" s="19">
        <f t="shared" si="2"/>
        <v>1250</v>
      </c>
      <c r="E44" s="20">
        <f t="shared" si="3"/>
        <v>1497</v>
      </c>
      <c r="F44" s="182">
        <f t="shared" si="4"/>
        <v>0.25</v>
      </c>
      <c r="G44" s="208">
        <f t="shared" si="0"/>
        <v>2747.25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45832</v>
      </c>
      <c r="D45" s="19">
        <f t="shared" si="2"/>
        <v>1250</v>
      </c>
      <c r="E45" s="20">
        <f t="shared" si="3"/>
        <v>1497</v>
      </c>
      <c r="F45" s="182">
        <f t="shared" si="4"/>
        <v>0.25</v>
      </c>
      <c r="G45" s="208">
        <f t="shared" si="0"/>
        <v>2747.25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45862</v>
      </c>
      <c r="D46" s="19">
        <f t="shared" si="2"/>
        <v>1250</v>
      </c>
      <c r="E46" s="20">
        <f t="shared" si="3"/>
        <v>1497</v>
      </c>
      <c r="F46" s="182">
        <f t="shared" si="4"/>
        <v>0.25</v>
      </c>
      <c r="G46" s="208">
        <f t="shared" si="0"/>
        <v>2747.25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45893</v>
      </c>
      <c r="D47" s="19">
        <f t="shared" si="2"/>
        <v>1250</v>
      </c>
      <c r="E47" s="20">
        <f t="shared" si="3"/>
        <v>1497</v>
      </c>
      <c r="F47" s="182">
        <f t="shared" si="4"/>
        <v>0.25</v>
      </c>
      <c r="G47" s="208">
        <f t="shared" si="0"/>
        <v>2747.25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45924</v>
      </c>
      <c r="D48" s="19">
        <f t="shared" si="2"/>
        <v>1250</v>
      </c>
      <c r="E48" s="20">
        <f t="shared" si="3"/>
        <v>1497</v>
      </c>
      <c r="F48" s="182">
        <f t="shared" si="4"/>
        <v>0.25</v>
      </c>
      <c r="G48" s="208">
        <f t="shared" si="0"/>
        <v>2747.25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45954</v>
      </c>
      <c r="D49" s="19">
        <f t="shared" si="2"/>
        <v>1250</v>
      </c>
      <c r="E49" s="20">
        <f t="shared" si="3"/>
        <v>1497</v>
      </c>
      <c r="F49" s="182">
        <f t="shared" si="4"/>
        <v>0.25</v>
      </c>
      <c r="G49" s="208">
        <f t="shared" si="0"/>
        <v>2747.25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45985</v>
      </c>
      <c r="D50" s="19">
        <f t="shared" si="2"/>
        <v>1250</v>
      </c>
      <c r="E50" s="20">
        <f t="shared" si="3"/>
        <v>1497</v>
      </c>
      <c r="F50" s="182">
        <f t="shared" si="4"/>
        <v>0.25</v>
      </c>
      <c r="G50" s="208">
        <f t="shared" si="0"/>
        <v>2747.25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46015</v>
      </c>
      <c r="D51" s="19">
        <f t="shared" si="2"/>
        <v>1250</v>
      </c>
      <c r="E51" s="20">
        <f t="shared" si="3"/>
        <v>1497</v>
      </c>
      <c r="F51" s="182">
        <f t="shared" si="4"/>
        <v>0.25</v>
      </c>
      <c r="G51" s="208">
        <f t="shared" si="0"/>
        <v>2747.25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46046</v>
      </c>
      <c r="D52" s="19">
        <f t="shared" si="2"/>
        <v>1250</v>
      </c>
      <c r="E52" s="20">
        <f t="shared" si="3"/>
        <v>1497</v>
      </c>
      <c r="F52" s="182">
        <f t="shared" si="4"/>
        <v>0.25</v>
      </c>
      <c r="G52" s="208">
        <f t="shared" si="0"/>
        <v>2747.25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46077</v>
      </c>
      <c r="D53" s="19">
        <f t="shared" si="2"/>
        <v>1250</v>
      </c>
      <c r="E53" s="20">
        <f t="shared" si="3"/>
        <v>1497</v>
      </c>
      <c r="F53" s="182">
        <f t="shared" si="4"/>
        <v>0.25</v>
      </c>
      <c r="G53" s="208">
        <f t="shared" si="0"/>
        <v>2747.25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46105</v>
      </c>
      <c r="D54" s="19">
        <f t="shared" si="2"/>
        <v>1250</v>
      </c>
      <c r="E54" s="20">
        <f t="shared" si="3"/>
        <v>1497</v>
      </c>
      <c r="F54" s="182">
        <f t="shared" si="4"/>
        <v>0.25</v>
      </c>
      <c r="G54" s="208">
        <f t="shared" si="0"/>
        <v>2747.25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46136</v>
      </c>
      <c r="D55" s="19">
        <f t="shared" si="2"/>
        <v>1250</v>
      </c>
      <c r="E55" s="20">
        <f t="shared" si="3"/>
        <v>1497</v>
      </c>
      <c r="F55" s="182">
        <f t="shared" si="4"/>
        <v>0.25</v>
      </c>
      <c r="G55" s="208">
        <f t="shared" si="0"/>
        <v>2747.25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46166</v>
      </c>
      <c r="D56" s="19">
        <f t="shared" si="2"/>
        <v>1250</v>
      </c>
      <c r="E56" s="20">
        <f t="shared" si="3"/>
        <v>1497</v>
      </c>
      <c r="F56" s="182">
        <f t="shared" si="4"/>
        <v>0.25</v>
      </c>
      <c r="G56" s="208">
        <f t="shared" si="0"/>
        <v>2747.25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46197</v>
      </c>
      <c r="D57" s="19">
        <f t="shared" si="2"/>
        <v>1250</v>
      </c>
      <c r="E57" s="20">
        <f t="shared" si="3"/>
        <v>1497</v>
      </c>
      <c r="F57" s="182">
        <f t="shared" si="4"/>
        <v>0.25</v>
      </c>
      <c r="G57" s="208">
        <f t="shared" si="0"/>
        <v>2747.25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46227</v>
      </c>
      <c r="D58" s="19">
        <f t="shared" si="2"/>
        <v>1250</v>
      </c>
      <c r="E58" s="20">
        <f t="shared" si="3"/>
        <v>1497</v>
      </c>
      <c r="F58" s="182">
        <f t="shared" si="4"/>
        <v>0.25</v>
      </c>
      <c r="G58" s="208">
        <f t="shared" si="0"/>
        <v>2747.25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46258</v>
      </c>
      <c r="D59" s="19">
        <f t="shared" si="2"/>
        <v>1250</v>
      </c>
      <c r="E59" s="20">
        <f t="shared" si="3"/>
        <v>1497</v>
      </c>
      <c r="F59" s="182">
        <f t="shared" si="4"/>
        <v>0.25</v>
      </c>
      <c r="G59" s="208">
        <f t="shared" si="0"/>
        <v>2747.25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46289</v>
      </c>
      <c r="D60" s="19">
        <f t="shared" si="2"/>
        <v>1250</v>
      </c>
      <c r="E60" s="20">
        <f t="shared" si="3"/>
        <v>1497</v>
      </c>
      <c r="F60" s="182">
        <f t="shared" si="4"/>
        <v>0.25</v>
      </c>
      <c r="G60" s="208">
        <f t="shared" si="0"/>
        <v>2747.25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46319</v>
      </c>
      <c r="D61" s="19">
        <f t="shared" si="2"/>
        <v>1250</v>
      </c>
      <c r="E61" s="20">
        <f t="shared" si="3"/>
        <v>1497</v>
      </c>
      <c r="F61" s="182">
        <f t="shared" si="4"/>
        <v>0.25</v>
      </c>
      <c r="G61" s="208">
        <f t="shared" si="0"/>
        <v>2747.25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46350</v>
      </c>
      <c r="D62" s="19">
        <f t="shared" si="2"/>
        <v>1250</v>
      </c>
      <c r="E62" s="20">
        <f t="shared" si="3"/>
        <v>1497</v>
      </c>
      <c r="F62" s="182">
        <f t="shared" si="4"/>
        <v>0.25</v>
      </c>
      <c r="G62" s="208">
        <f t="shared" si="0"/>
        <v>2747.25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46380</v>
      </c>
      <c r="D63" s="19">
        <f t="shared" si="2"/>
        <v>1250</v>
      </c>
      <c r="E63" s="20">
        <f t="shared" si="3"/>
        <v>1497</v>
      </c>
      <c r="F63" s="182">
        <f t="shared" si="4"/>
        <v>0.25</v>
      </c>
      <c r="G63" s="208">
        <f t="shared" si="0"/>
        <v>2747.25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46411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8">
        <f t="shared" si="0"/>
        <v>0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46442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8">
        <f t="shared" si="0"/>
        <v>0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46470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8">
        <f t="shared" si="0"/>
        <v>0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46501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8">
        <f t="shared" si="0"/>
        <v>0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46531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8">
        <f t="shared" si="0"/>
        <v>0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46562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8">
        <f t="shared" si="0"/>
        <v>0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46592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8">
        <f t="shared" si="0"/>
        <v>0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46623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8">
        <f t="shared" si="0"/>
        <v>0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46654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8">
        <f t="shared" ref="G72:G99" si="5">IF(B$40&lt;=F$21,D72+E72+F72,0)</f>
        <v>0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46684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8">
        <f t="shared" si="5"/>
        <v>0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46715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8">
        <f t="shared" si="5"/>
        <v>0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46745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8">
        <f t="shared" si="5"/>
        <v>0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46776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46807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46836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46867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46897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46928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46958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46989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47020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47050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47081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47111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47142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47173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47201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47232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47262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47293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47323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47354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47385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47415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47446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47476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5" thickBot="1" x14ac:dyDescent="0.25">
      <c r="A100" s="43"/>
      <c r="B100" s="213" t="s">
        <v>1</v>
      </c>
      <c r="C100" s="214"/>
      <c r="D100" s="93">
        <f>SUM(D40:D99)</f>
        <v>30000</v>
      </c>
      <c r="E100" s="93">
        <f>SUM(E40:E99)</f>
        <v>31437</v>
      </c>
      <c r="F100" s="99">
        <f>SUM(F40:F99)</f>
        <v>6</v>
      </c>
      <c r="G100" s="211">
        <f>SUM(G40:H99)</f>
        <v>61443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gB9gSboD/s6VqDh+nE1nImrj4wAN9wDgG2PxF4x0H9FdyCBPJa+ax8RU2JqEf0N6vrywhkkIOvEItTSaUjOKiQ==" saltValue="o7AcpzSTB55YbSe509S0ig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L7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1" t="s">
        <v>158</v>
      </c>
      <c r="B9" s="252"/>
      <c r="C9" s="252"/>
      <c r="D9" s="25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4" t="s">
        <v>30</v>
      </c>
      <c r="B26" s="245"/>
      <c r="C26" s="245"/>
      <c r="D26" s="245"/>
      <c r="E26" s="245"/>
      <c r="F26" s="245"/>
      <c r="G26" s="246"/>
    </row>
    <row r="27" spans="1:8" ht="45.75" thickBot="1" x14ac:dyDescent="0.25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3"/>
      <c r="E29" s="243"/>
      <c r="F29" s="243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G4" sqref="G4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29400</v>
      </c>
      <c r="C4" s="151">
        <v>24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29400 грн.</v>
      </c>
      <c r="H4" s="185">
        <f>B4+J4</f>
        <v>30000</v>
      </c>
      <c r="I4" s="151">
        <v>3</v>
      </c>
      <c r="J4" s="151">
        <v>600</v>
      </c>
      <c r="K4" s="184">
        <v>0</v>
      </c>
      <c r="L4" s="153">
        <f t="shared" ref="L4" si="0">D4/12/(1-1/POWER(1+D4/12,C4))*H4+H4*F4</f>
        <v>2747.1302124861286</v>
      </c>
      <c r="M4" s="154">
        <f>F4</f>
        <v>4.99E-2</v>
      </c>
      <c r="N4" s="154"/>
      <c r="O4" s="155">
        <v>0</v>
      </c>
      <c r="P4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Satellite_0-3-24</vt:lpstr>
      <vt:lpstr>Перелік партнерів</vt:lpstr>
      <vt:lpstr>Назви</vt:lpstr>
      <vt:lpstr>Лист2</vt:lpstr>
      <vt:lpstr>'Satellite_0-3-24'!Область_друку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2024-12-24T10:00:04Z</dcterms:modified>
</cp:coreProperties>
</file>