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E58D1C4D-E3FB-4995-B140-C872E34C9C5D}" xr6:coauthVersionLast="47" xr6:coauthVersionMax="47" xr10:uidLastSave="{00000000-0000-0000-0000-000000000000}"/>
  <workbookProtection workbookAlgorithmName="SHA-512" workbookHashValue="j0DwRMw3NEUZ+sHvTpSsXODNf7d4ui2Bwa6KCEHnEuynhTUf+qwo9/1FAN7EqSKGJDxPlhyr94c0RSU6U0mrig==" workbookSaltValue="ZchGHMxJMfgzotkf6szO0Q==" workbookSpinCount="100000" lockStructure="1"/>
  <bookViews>
    <workbookView xWindow="-120" yWindow="-120" windowWidth="29040" windowHeight="15990" tabRatio="863" xr2:uid="{00000000-000D-0000-FFFF-FFFF00000000}"/>
  </bookViews>
  <sheets>
    <sheet name="Satellite_0-3-24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'Satellite_0-3-24'!$A$1:$I$103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H4" i="165"/>
  <c r="E2" i="164" l="1"/>
  <c r="G39" i="164" l="1"/>
  <c r="L9" i="164" l="1"/>
  <c r="L10" i="164"/>
  <c r="G4" i="165" l="1"/>
  <c r="L17" i="164" l="1"/>
  <c r="L12" i="164" l="1"/>
  <c r="L13" i="164"/>
  <c r="L14" i="164"/>
  <c r="L15" i="164"/>
  <c r="L16" i="164"/>
  <c r="G2" i="164" l="1"/>
  <c r="B28" i="164"/>
  <c r="B26" i="164"/>
  <c r="B24" i="164"/>
  <c r="B11" i="164"/>
  <c r="F17" i="164" l="1"/>
  <c r="L8" i="164"/>
  <c r="L11" i="164"/>
  <c r="M4" i="165"/>
  <c r="L7" i="164"/>
  <c r="H3" i="164" l="1"/>
  <c r="F2" i="164"/>
  <c r="F21" i="164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G3" i="164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64" i="164" l="1"/>
  <c r="F68" i="164"/>
  <c r="F72" i="164"/>
  <c r="F76" i="164"/>
  <c r="F80" i="164"/>
  <c r="F84" i="164"/>
  <c r="F88" i="164"/>
  <c r="F92" i="164"/>
  <c r="F96" i="164"/>
  <c r="F65" i="164"/>
  <c r="F69" i="164"/>
  <c r="F73" i="164"/>
  <c r="F77" i="164"/>
  <c r="F81" i="164"/>
  <c r="F85" i="164"/>
  <c r="F89" i="164"/>
  <c r="F93" i="164"/>
  <c r="F97" i="164"/>
  <c r="F66" i="164"/>
  <c r="F70" i="164"/>
  <c r="F74" i="164"/>
  <c r="F78" i="164"/>
  <c r="F82" i="164"/>
  <c r="F86" i="164"/>
  <c r="F90" i="164"/>
  <c r="F94" i="164"/>
  <c r="F98" i="164"/>
  <c r="F67" i="164"/>
  <c r="F71" i="164"/>
  <c r="F75" i="164"/>
  <c r="F79" i="164"/>
  <c r="F83" i="164"/>
  <c r="F87" i="164"/>
  <c r="F91" i="164"/>
  <c r="F95" i="164"/>
  <c r="F99" i="164"/>
  <c r="F22" i="16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75" i="164"/>
  <c r="E89" i="164"/>
  <c r="E92" i="164"/>
  <c r="E84" i="164"/>
  <c r="E64" i="164"/>
  <c r="D59" i="164" l="1"/>
  <c r="F43" i="164"/>
  <c r="F47" i="164"/>
  <c r="F51" i="164"/>
  <c r="F55" i="164"/>
  <c r="F59" i="164"/>
  <c r="F63" i="164"/>
  <c r="F44" i="164"/>
  <c r="F48" i="164"/>
  <c r="F52" i="164"/>
  <c r="F56" i="164"/>
  <c r="F60" i="164"/>
  <c r="F40" i="164"/>
  <c r="F41" i="164"/>
  <c r="F45" i="164"/>
  <c r="F49" i="164"/>
  <c r="F53" i="164"/>
  <c r="F57" i="164"/>
  <c r="F61" i="164"/>
  <c r="F42" i="164"/>
  <c r="F46" i="164"/>
  <c r="F50" i="164"/>
  <c r="F54" i="164"/>
  <c r="F58" i="164"/>
  <c r="F62" i="164"/>
  <c r="E71" i="164"/>
  <c r="E44" i="164"/>
  <c r="E82" i="164"/>
  <c r="E87" i="164"/>
  <c r="E86" i="164"/>
  <c r="E77" i="164"/>
  <c r="D87" i="164"/>
  <c r="D83" i="164"/>
  <c r="G83" i="164" s="1"/>
  <c r="D79" i="164"/>
  <c r="G79" i="164" s="1"/>
  <c r="D75" i="164"/>
  <c r="G75" i="164" s="1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G64" i="164" s="1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E3" i="164"/>
  <c r="F3" i="164" s="1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1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<sst xmlns="http://schemas.openxmlformats.org/spreadsheetml/2006/main" count="169" uniqueCount="161">
  <si>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</si>
  <si>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</si>
  <si>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</si>
  <si>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</si>
  <si>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</si>
  <si>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</si>
  <si>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</si>
  <si>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</si>
  <si>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</si>
  <si>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</si>
  <si>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</si>
  <si>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</si>
  <si>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</si>
  <si>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</si>
  <si>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</si>
  <si>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</si>
  <si>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</si>
  <si>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</si>
  <si>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</si>
  <si>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</si>
  <si>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</si>
  <si>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</si>
  <si>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</si>
  <si>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</si>
  <si>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</si>
  <si>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</si>
  <si>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</si>
  <si>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</si>
  <si>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</si>
  <si>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</si>
  <si>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</si>
  <si>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</si>
  <si>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</si>
  <si>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</si>
  <si>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</si>
  <si>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</si>
  <si>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</si>
  <si>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</si>
  <si>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</si>
  <si>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</si>
  <si>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</si>
  <si>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</si>
  <si>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</si>
  <si>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</si>
  <si>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</si>
  <si>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</si>
  <si>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</si>
  <si>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</si>
  <si>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</si>
  <si>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</si>
  <si>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</si>
  <si>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</si>
  <si>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</si>
  <si>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</si>
  <si>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</si>
  <si>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</si>
  <si>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</si>
  <si>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</si>
  <si>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</si>
  <si>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</si>
  <si>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</si>
  <si>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</si>
  <si>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</si>
  <si>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</si>
  <si>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</si>
  <si>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</si>
  <si>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</si>
  <si>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</si>
  <si>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</si>
  <si>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</si>
  <si>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</si>
  <si>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</si>
  <si>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</si>
  <si>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</si>
  <si>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</si>
  <si>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</si>
  <si>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</si>
  <si>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</si>
  <si>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</si>
  <si>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</si>
  <si>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</si>
  <si>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</si>
  <si>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</si>
  <si>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</si>
  <si>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</si>
  <si>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</si>
  <si>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</si>
  <si>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</si>
  <si>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</si>
  <si>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</si>
  <si>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</si>
  <si>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</si>
  <si>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</si>
  <si>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</si>
  <si>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</si>
  <si>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</si>
  <si>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</si>
  <si>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</si>
  <si>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</si>
  <si>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</si>
  <si>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</si>
  <si>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</si>
  <si>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</si>
  <si>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</si>
  <si>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</si>
  <si>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</si>
  <si>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</si>
  <si>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</si>
  <si>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</si>
  <si>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</si>
  <si>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</si>
  <si>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</si>
  <si>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</si>
  <si>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</si>
  <si>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</si>
  <si>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</si>
  <si>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</si>
  <si>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</si>
  <si>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</si>
  <si>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</si>
  <si>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</si>
  <si>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</si>
  <si>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</si>
  <si>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</si>
  <si>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</si>
  <si>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</si>
  <si>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</si>
  <si>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</si>
  <si>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</si>
  <si>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</si>
  <si>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</si>
  <si>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</si>
  <si>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</si>
  <si>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</si>
  <si>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</si>
  <si>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</si>
  <si>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</si>
  <si>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</si>
  <si>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</si>
  <si>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</si>
  <si>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</si>
  <si>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</si>
  <si>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</si>
  <si>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</si>
  <si>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</si>
  <si>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</si>
  <si>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</si>
  <si>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</si>
  <si>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</si>
  <si>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</si>
  <si>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</si>
  <si>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</si>
  <si>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</si>
  <si>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</si>
  <si>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</si>
  <si>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</si>
  <si>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</si>
  <si>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</si>
  <si>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</si>
  <si>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</si>
  <si>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Satellite_Грейс3_24міс.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</si>
</sst>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0" borderId="0" xfId="49" applyFont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33" fillId="6" borderId="6" xfId="0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67" fontId="3" fillId="3" borderId="0" xfId="72" applyNumberFormat="1" applyFont="1" applyFill="1" applyAlignment="1" applyProtection="1">
      <alignment horizontal="left"/>
    </xf>
    <xf numFmtId="4" fontId="15" fillId="0" borderId="1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20.28515625" customWidth="1"/>
    <col min="10" max="10" width="17.28515625" style="3" hidden="1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0" style="97" hidden="1" customWidth="1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186" t="s">
        <v>48</v>
      </c>
      <c r="I1" s="186"/>
    </row>
    <row r="2" spans="1:45" ht="12.75" customHeight="1" x14ac:dyDescent="0.2">
      <c r="A2" s="2"/>
      <c r="B2" s="88"/>
      <c r="C2" s="88"/>
      <c r="D2" s="88"/>
      <c r="E2" s="109">
        <f>VLOOKUP('Satellite_0-3-24'!H2,Лист2!A:P,16,FALSE)</f>
        <v>1000</v>
      </c>
      <c r="F2" s="132">
        <f>VLOOKUP(H$2,Лист2!$A:$H,8,0)</f>
        <v>30000</v>
      </c>
      <c r="G2" s="177">
        <f ca="1">TODAY()</f>
        <v>45650</v>
      </c>
      <c r="H2" s="193" t="s">
        <v>160</v>
      </c>
      <c r="I2" s="194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30000</v>
      </c>
      <c r="F3" s="195" t="str">
        <f>IF(E3="x","Збільшіть суму",IF(E3="y","Зменшіть суму",""))</f>
        <v/>
      </c>
      <c r="G3" s="133">
        <f>Назви!B32</f>
        <v>30.4</v>
      </c>
      <c r="H3" s="197">
        <f>VLOOKUP(H$2,Лист2!$A:$H,8,0)</f>
        <v>30000</v>
      </c>
      <c r="I3" s="198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196"/>
      <c r="G4" s="112"/>
      <c r="H4" s="162"/>
      <c r="I4" s="120"/>
      <c r="J4" s="35"/>
      <c r="AA4" s="51"/>
    </row>
    <row r="5" spans="1:45" ht="21" thickBot="1" x14ac:dyDescent="0.25">
      <c r="A5" s="1"/>
      <c r="B5" s="199" t="s">
        <v>42</v>
      </c>
      <c r="C5" s="200"/>
      <c r="D5" s="200"/>
      <c r="E5" s="201"/>
      <c r="F5" s="161">
        <v>29400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190" t="s">
        <v>43</v>
      </c>
      <c r="C7" s="191"/>
      <c r="D7" s="191"/>
      <c r="E7" s="192"/>
      <c r="F7" s="163">
        <f>F5+F5*F11+F15+F5*F17</f>
        <v>30000</v>
      </c>
      <c r="G7" s="164"/>
      <c r="H7" s="165"/>
      <c r="I7" s="42"/>
      <c r="J7" s="4"/>
      <c r="K7" s="37"/>
      <c r="L7" s="51" t="str">
        <f>Лист2!A4</f>
        <v>Satellite_Грейс3_24міс.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187"/>
      <c r="B8" s="187"/>
      <c r="C8" s="187"/>
      <c r="D8" s="187"/>
      <c r="E8" s="187"/>
      <c r="F8" s="188"/>
      <c r="G8" s="187"/>
      <c r="H8" s="187"/>
      <c r="I8" s="187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02" t="str">
        <f>Назви!A3</f>
        <v>Процентна ставка, % річних</v>
      </c>
      <c r="C9" s="203">
        <f>Назви!B3</f>
        <v>0</v>
      </c>
      <c r="D9" s="203">
        <f>Назви!C3</f>
        <v>0</v>
      </c>
      <c r="E9" s="203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204" t="str">
        <f>Назви!A5</f>
        <v>Разовий страховий тариф, %</v>
      </c>
      <c r="C11" s="205">
        <f>Назви!B5</f>
        <v>0</v>
      </c>
      <c r="D11" s="205">
        <f>Назви!C5</f>
        <v>0</v>
      </c>
      <c r="E11" s="205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206" t="s">
        <v>41</v>
      </c>
      <c r="C13" s="206"/>
      <c r="D13" s="206"/>
      <c r="E13" s="204"/>
      <c r="F13" s="140">
        <f>VLOOKUP(H$2,Лист2!$A:$J,9,0)</f>
        <v>3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206" t="s">
        <v>39</v>
      </c>
      <c r="C15" s="206"/>
      <c r="D15" s="206"/>
      <c r="E15" s="204"/>
      <c r="F15" s="156">
        <f>VLOOKUP(H$2,Лист2!$A:$J,10,0)</f>
        <v>600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206" t="s">
        <v>40</v>
      </c>
      <c r="C17" s="206"/>
      <c r="D17" s="206"/>
      <c r="E17" s="206"/>
      <c r="F17" s="134">
        <f>VLOOKUP(H$2,Лист2!$A:$K,11,0)</f>
        <v>0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204" t="str">
        <f>Назви!A7</f>
        <v xml:space="preserve">Щомісячна плата за обслуговування кредитної заборгованості, % </v>
      </c>
      <c r="C19" s="205">
        <f>Назви!B7</f>
        <v>0</v>
      </c>
      <c r="D19" s="205">
        <f>Назви!C7</f>
        <v>0</v>
      </c>
      <c r="E19" s="229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204" t="str">
        <f>Назви!A9</f>
        <v>Термін кредитування (міс.)</v>
      </c>
      <c r="C21" s="205">
        <f>Назви!B9</f>
        <v>0</v>
      </c>
      <c r="D21" s="205">
        <f>Назви!C9</f>
        <v>0</v>
      </c>
      <c r="E21" s="229">
        <f>Назви!D9</f>
        <v>0</v>
      </c>
      <c r="F21" s="141">
        <f>VLOOKUP(H$2,Лист2!$A:$G,3,0)</f>
        <v>24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30000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224" t="str">
        <f>Назви!A14</f>
        <v>Орієнтовні загальні витрати за кредитом, грн.</v>
      </c>
      <c r="C24" s="225"/>
      <c r="D24" s="225"/>
      <c r="E24" s="225"/>
      <c r="F24" s="160">
        <f>G100-F5</f>
        <v>32043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224" t="str">
        <f>Назви!A16</f>
        <v>Орієнтовна загальна вартість кредиту, грн.</v>
      </c>
      <c r="C26" s="225">
        <f>Назви!B14</f>
        <v>0</v>
      </c>
      <c r="D26" s="225">
        <f>Назви!C14</f>
        <v>0</v>
      </c>
      <c r="E26" s="226">
        <f>Назви!D14</f>
        <v>0</v>
      </c>
      <c r="F26" s="144">
        <f>F5+F24</f>
        <v>61443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224" t="str">
        <f>Назви!A18</f>
        <v>Реальна річна процентна ставка, %</v>
      </c>
      <c r="C28" s="225">
        <f>Назви!B16</f>
        <v>0</v>
      </c>
      <c r="D28" s="225">
        <f>Назви!C16</f>
        <v>0</v>
      </c>
      <c r="E28" s="226">
        <f>Назви!D16</f>
        <v>0</v>
      </c>
      <c r="F28" s="147">
        <f ca="1">XIRR(G39:G87,C39:C87)</f>
        <v>1.095860326290131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227" t="str">
        <f>Назви!A19</f>
        <v>Інший термін</v>
      </c>
      <c r="C30" s="228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217" t="s">
        <v>32</v>
      </c>
      <c r="C31" s="218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217" t="s">
        <v>33</v>
      </c>
      <c r="C32" s="218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217" t="s">
        <v>9</v>
      </c>
      <c r="C33" s="218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217"/>
      <c r="C34" s="218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219" t="str">
        <f>Назви!A26</f>
        <v xml:space="preserve">ГРАФІК СПЛАТИ КРЕДИТУ </v>
      </c>
      <c r="C37" s="220"/>
      <c r="D37" s="220"/>
      <c r="E37" s="220"/>
      <c r="F37" s="220"/>
      <c r="G37" s="220"/>
      <c r="H37" s="22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22" t="str">
        <f>Назви!A27</f>
        <v>Місяць</v>
      </c>
      <c r="C38" s="22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22" t="str">
        <f>Назви!F27</f>
        <v>Загальна сума внесків до повернення в місяць, грн.</v>
      </c>
      <c r="H38" s="22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5" hidden="1" thickBot="1" x14ac:dyDescent="0.25">
      <c r="A39" s="1"/>
      <c r="B39" s="90">
        <v>0</v>
      </c>
      <c r="C39" s="159">
        <f ca="1">TODAY()</f>
        <v>45650</v>
      </c>
      <c r="D39" s="91"/>
      <c r="E39" s="92"/>
      <c r="F39" s="91"/>
      <c r="G39" s="158">
        <f>-F5</f>
        <v>-29400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45681</v>
      </c>
      <c r="D40" s="19">
        <f>IF(B40&lt;=$F$21,$F$7/$F$21,0)</f>
        <v>1250</v>
      </c>
      <c r="E40" s="20">
        <f>IF(AND(B40&gt;F$13,B40&lt;=$F$21),F$7*F$19,0)</f>
        <v>0</v>
      </c>
      <c r="F40" s="182">
        <f>IF(B40&lt;=$F$21,F$7*F$9/12,0)</f>
        <v>0.25</v>
      </c>
      <c r="G40" s="208">
        <f t="shared" ref="G40:G71" si="0">IF(B$40&lt;=F$21,D40+E40+F40,0)</f>
        <v>1250.25</v>
      </c>
      <c r="H40" s="20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45712</v>
      </c>
      <c r="D41" s="19">
        <f t="shared" ref="D41:D87" si="2">IF(B41&lt;=$F$21,$F$7/$F$21,0)</f>
        <v>1250</v>
      </c>
      <c r="E41" s="20">
        <f t="shared" ref="E41:E99" si="3">IF(AND(B41&gt;F$13,B41&lt;=$F$21),F$7*F$19,0)</f>
        <v>0</v>
      </c>
      <c r="F41" s="182">
        <f t="shared" ref="F41:F99" si="4">IF(B41&lt;=$F$21,F$7*F$9/12,0)</f>
        <v>0.25</v>
      </c>
      <c r="G41" s="208">
        <f t="shared" si="0"/>
        <v>1250.25</v>
      </c>
      <c r="H41" s="20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45740</v>
      </c>
      <c r="D42" s="19">
        <f t="shared" si="2"/>
        <v>1250</v>
      </c>
      <c r="E42" s="20">
        <f t="shared" si="3"/>
        <v>0</v>
      </c>
      <c r="F42" s="182">
        <f t="shared" si="4"/>
        <v>0.25</v>
      </c>
      <c r="G42" s="208">
        <f t="shared" si="0"/>
        <v>1250.25</v>
      </c>
      <c r="H42" s="20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45771</v>
      </c>
      <c r="D43" s="19">
        <f t="shared" si="2"/>
        <v>1250</v>
      </c>
      <c r="E43" s="20">
        <f t="shared" si="3"/>
        <v>1497</v>
      </c>
      <c r="F43" s="182">
        <f t="shared" si="4"/>
        <v>0.25</v>
      </c>
      <c r="G43" s="208">
        <f t="shared" si="0"/>
        <v>2747.25</v>
      </c>
      <c r="H43" s="20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45801</v>
      </c>
      <c r="D44" s="19">
        <f t="shared" si="2"/>
        <v>1250</v>
      </c>
      <c r="E44" s="20">
        <f t="shared" si="3"/>
        <v>1497</v>
      </c>
      <c r="F44" s="182">
        <f t="shared" si="4"/>
        <v>0.25</v>
      </c>
      <c r="G44" s="208">
        <f t="shared" si="0"/>
        <v>2747.25</v>
      </c>
      <c r="H44" s="20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45832</v>
      </c>
      <c r="D45" s="19">
        <f t="shared" si="2"/>
        <v>1250</v>
      </c>
      <c r="E45" s="20">
        <f t="shared" si="3"/>
        <v>1497</v>
      </c>
      <c r="F45" s="182">
        <f t="shared" si="4"/>
        <v>0.25</v>
      </c>
      <c r="G45" s="208">
        <f t="shared" si="0"/>
        <v>2747.25</v>
      </c>
      <c r="H45" s="20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45862</v>
      </c>
      <c r="D46" s="19">
        <f t="shared" si="2"/>
        <v>1250</v>
      </c>
      <c r="E46" s="20">
        <f t="shared" si="3"/>
        <v>1497</v>
      </c>
      <c r="F46" s="182">
        <f t="shared" si="4"/>
        <v>0.25</v>
      </c>
      <c r="G46" s="208">
        <f t="shared" si="0"/>
        <v>2747.25</v>
      </c>
      <c r="H46" s="20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45893</v>
      </c>
      <c r="D47" s="19">
        <f t="shared" si="2"/>
        <v>1250</v>
      </c>
      <c r="E47" s="20">
        <f t="shared" si="3"/>
        <v>1497</v>
      </c>
      <c r="F47" s="182">
        <f t="shared" si="4"/>
        <v>0.25</v>
      </c>
      <c r="G47" s="208">
        <f t="shared" si="0"/>
        <v>2747.25</v>
      </c>
      <c r="H47" s="20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45924</v>
      </c>
      <c r="D48" s="19">
        <f t="shared" si="2"/>
        <v>1250</v>
      </c>
      <c r="E48" s="20">
        <f t="shared" si="3"/>
        <v>1497</v>
      </c>
      <c r="F48" s="182">
        <f t="shared" si="4"/>
        <v>0.25</v>
      </c>
      <c r="G48" s="208">
        <f t="shared" si="0"/>
        <v>2747.25</v>
      </c>
      <c r="H48" s="20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45954</v>
      </c>
      <c r="D49" s="19">
        <f t="shared" si="2"/>
        <v>1250</v>
      </c>
      <c r="E49" s="20">
        <f t="shared" si="3"/>
        <v>1497</v>
      </c>
      <c r="F49" s="182">
        <f t="shared" si="4"/>
        <v>0.25</v>
      </c>
      <c r="G49" s="208">
        <f t="shared" si="0"/>
        <v>2747.25</v>
      </c>
      <c r="H49" s="20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45985</v>
      </c>
      <c r="D50" s="19">
        <f t="shared" si="2"/>
        <v>1250</v>
      </c>
      <c r="E50" s="20">
        <f t="shared" si="3"/>
        <v>1497</v>
      </c>
      <c r="F50" s="182">
        <f t="shared" si="4"/>
        <v>0.25</v>
      </c>
      <c r="G50" s="208">
        <f t="shared" si="0"/>
        <v>2747.25</v>
      </c>
      <c r="H50" s="20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46015</v>
      </c>
      <c r="D51" s="19">
        <f t="shared" si="2"/>
        <v>1250</v>
      </c>
      <c r="E51" s="20">
        <f t="shared" si="3"/>
        <v>1497</v>
      </c>
      <c r="F51" s="182">
        <f t="shared" si="4"/>
        <v>0.25</v>
      </c>
      <c r="G51" s="208">
        <f t="shared" si="0"/>
        <v>2747.25</v>
      </c>
      <c r="H51" s="20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46046</v>
      </c>
      <c r="D52" s="19">
        <f t="shared" si="2"/>
        <v>1250</v>
      </c>
      <c r="E52" s="20">
        <f t="shared" si="3"/>
        <v>1497</v>
      </c>
      <c r="F52" s="182">
        <f t="shared" si="4"/>
        <v>0.25</v>
      </c>
      <c r="G52" s="208">
        <f t="shared" si="0"/>
        <v>2747.25</v>
      </c>
      <c r="H52" s="20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46077</v>
      </c>
      <c r="D53" s="19">
        <f t="shared" si="2"/>
        <v>1250</v>
      </c>
      <c r="E53" s="20">
        <f t="shared" si="3"/>
        <v>1497</v>
      </c>
      <c r="F53" s="182">
        <f t="shared" si="4"/>
        <v>0.25</v>
      </c>
      <c r="G53" s="208">
        <f t="shared" si="0"/>
        <v>2747.25</v>
      </c>
      <c r="H53" s="20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46105</v>
      </c>
      <c r="D54" s="19">
        <f t="shared" si="2"/>
        <v>1250</v>
      </c>
      <c r="E54" s="20">
        <f t="shared" si="3"/>
        <v>1497</v>
      </c>
      <c r="F54" s="182">
        <f t="shared" si="4"/>
        <v>0.25</v>
      </c>
      <c r="G54" s="208">
        <f t="shared" si="0"/>
        <v>2747.25</v>
      </c>
      <c r="H54" s="20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46136</v>
      </c>
      <c r="D55" s="19">
        <f t="shared" si="2"/>
        <v>1250</v>
      </c>
      <c r="E55" s="20">
        <f t="shared" si="3"/>
        <v>1497</v>
      </c>
      <c r="F55" s="182">
        <f t="shared" si="4"/>
        <v>0.25</v>
      </c>
      <c r="G55" s="208">
        <f t="shared" si="0"/>
        <v>2747.25</v>
      </c>
      <c r="H55" s="20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46166</v>
      </c>
      <c r="D56" s="19">
        <f t="shared" si="2"/>
        <v>1250</v>
      </c>
      <c r="E56" s="20">
        <f t="shared" si="3"/>
        <v>1497</v>
      </c>
      <c r="F56" s="182">
        <f t="shared" si="4"/>
        <v>0.25</v>
      </c>
      <c r="G56" s="208">
        <f t="shared" si="0"/>
        <v>2747.25</v>
      </c>
      <c r="H56" s="20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46197</v>
      </c>
      <c r="D57" s="19">
        <f t="shared" si="2"/>
        <v>1250</v>
      </c>
      <c r="E57" s="20">
        <f t="shared" si="3"/>
        <v>1497</v>
      </c>
      <c r="F57" s="182">
        <f t="shared" si="4"/>
        <v>0.25</v>
      </c>
      <c r="G57" s="208">
        <f t="shared" si="0"/>
        <v>2747.25</v>
      </c>
      <c r="H57" s="20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46227</v>
      </c>
      <c r="D58" s="19">
        <f t="shared" si="2"/>
        <v>1250</v>
      </c>
      <c r="E58" s="20">
        <f t="shared" si="3"/>
        <v>1497</v>
      </c>
      <c r="F58" s="182">
        <f t="shared" si="4"/>
        <v>0.25</v>
      </c>
      <c r="G58" s="208">
        <f t="shared" si="0"/>
        <v>2747.25</v>
      </c>
      <c r="H58" s="20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46258</v>
      </c>
      <c r="D59" s="19">
        <f t="shared" si="2"/>
        <v>1250</v>
      </c>
      <c r="E59" s="20">
        <f t="shared" si="3"/>
        <v>1497</v>
      </c>
      <c r="F59" s="182">
        <f t="shared" si="4"/>
        <v>0.25</v>
      </c>
      <c r="G59" s="208">
        <f t="shared" si="0"/>
        <v>2747.25</v>
      </c>
      <c r="H59" s="20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46289</v>
      </c>
      <c r="D60" s="19">
        <f t="shared" si="2"/>
        <v>1250</v>
      </c>
      <c r="E60" s="20">
        <f t="shared" si="3"/>
        <v>1497</v>
      </c>
      <c r="F60" s="182">
        <f t="shared" si="4"/>
        <v>0.25</v>
      </c>
      <c r="G60" s="208">
        <f t="shared" si="0"/>
        <v>2747.25</v>
      </c>
      <c r="H60" s="20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46319</v>
      </c>
      <c r="D61" s="19">
        <f t="shared" si="2"/>
        <v>1250</v>
      </c>
      <c r="E61" s="20">
        <f t="shared" si="3"/>
        <v>1497</v>
      </c>
      <c r="F61" s="182">
        <f t="shared" si="4"/>
        <v>0.25</v>
      </c>
      <c r="G61" s="208">
        <f t="shared" si="0"/>
        <v>2747.25</v>
      </c>
      <c r="H61" s="20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46350</v>
      </c>
      <c r="D62" s="19">
        <f t="shared" si="2"/>
        <v>1250</v>
      </c>
      <c r="E62" s="20">
        <f t="shared" si="3"/>
        <v>1497</v>
      </c>
      <c r="F62" s="182">
        <f t="shared" si="4"/>
        <v>0.25</v>
      </c>
      <c r="G62" s="208">
        <f t="shared" si="0"/>
        <v>2747.25</v>
      </c>
      <c r="H62" s="20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46380</v>
      </c>
      <c r="D63" s="19">
        <f t="shared" si="2"/>
        <v>1250</v>
      </c>
      <c r="E63" s="20">
        <f t="shared" si="3"/>
        <v>1497</v>
      </c>
      <c r="F63" s="182">
        <f t="shared" si="4"/>
        <v>0.25</v>
      </c>
      <c r="G63" s="208">
        <f t="shared" si="0"/>
        <v>2747.25</v>
      </c>
      <c r="H63" s="20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46411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208">
        <f t="shared" si="0"/>
        <v>0</v>
      </c>
      <c r="H64" s="20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46442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208">
        <f t="shared" si="0"/>
        <v>0</v>
      </c>
      <c r="H65" s="20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46470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208">
        <f t="shared" si="0"/>
        <v>0</v>
      </c>
      <c r="H66" s="20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46501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208">
        <f t="shared" si="0"/>
        <v>0</v>
      </c>
      <c r="H67" s="20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46531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208">
        <f t="shared" si="0"/>
        <v>0</v>
      </c>
      <c r="H68" s="20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46562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208">
        <f t="shared" si="0"/>
        <v>0</v>
      </c>
      <c r="H69" s="20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46592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208">
        <f t="shared" si="0"/>
        <v>0</v>
      </c>
      <c r="H70" s="20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46623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208">
        <f t="shared" si="0"/>
        <v>0</v>
      </c>
      <c r="H71" s="20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46654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208">
        <f t="shared" ref="G72:G99" si="5">IF(B$40&lt;=F$21,D72+E72+F72,0)</f>
        <v>0</v>
      </c>
      <c r="H72" s="20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46684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208">
        <f t="shared" si="5"/>
        <v>0</v>
      </c>
      <c r="H73" s="20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46715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208">
        <f t="shared" si="5"/>
        <v>0</v>
      </c>
      <c r="H74" s="20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46745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208">
        <f t="shared" si="5"/>
        <v>0</v>
      </c>
      <c r="H75" s="20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46776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208">
        <f t="shared" si="5"/>
        <v>0</v>
      </c>
      <c r="H76" s="20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46807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208">
        <f t="shared" si="5"/>
        <v>0</v>
      </c>
      <c r="H77" s="20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46836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208">
        <f t="shared" si="5"/>
        <v>0</v>
      </c>
      <c r="H78" s="20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46867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208">
        <f t="shared" si="5"/>
        <v>0</v>
      </c>
      <c r="H79" s="20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46897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208">
        <f t="shared" si="5"/>
        <v>0</v>
      </c>
      <c r="H80" s="20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46928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208">
        <f t="shared" si="5"/>
        <v>0</v>
      </c>
      <c r="H81" s="20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46958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208">
        <f t="shared" si="5"/>
        <v>0</v>
      </c>
      <c r="H82" s="20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46989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208">
        <f t="shared" si="5"/>
        <v>0</v>
      </c>
      <c r="H83" s="20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47020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208">
        <f t="shared" si="5"/>
        <v>0</v>
      </c>
      <c r="H84" s="20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47050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208">
        <f t="shared" si="5"/>
        <v>0</v>
      </c>
      <c r="H85" s="20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47081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208">
        <f t="shared" si="5"/>
        <v>0</v>
      </c>
      <c r="H86" s="20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47111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208">
        <f t="shared" si="5"/>
        <v>0</v>
      </c>
      <c r="H87" s="20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47142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15">
        <f t="shared" si="5"/>
        <v>0</v>
      </c>
      <c r="H88" s="216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47173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9">
        <f t="shared" si="5"/>
        <v>0</v>
      </c>
      <c r="H89" s="210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47201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9">
        <f t="shared" si="5"/>
        <v>0</v>
      </c>
      <c r="H90" s="210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47232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9">
        <f t="shared" si="5"/>
        <v>0</v>
      </c>
      <c r="H91" s="210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47262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9">
        <f t="shared" si="5"/>
        <v>0</v>
      </c>
      <c r="H92" s="210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47293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9">
        <f t="shared" si="5"/>
        <v>0</v>
      </c>
      <c r="H93" s="210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47323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9">
        <f t="shared" si="5"/>
        <v>0</v>
      </c>
      <c r="H94" s="210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47354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9">
        <f t="shared" si="5"/>
        <v>0</v>
      </c>
      <c r="H95" s="210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47385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9">
        <f t="shared" si="5"/>
        <v>0</v>
      </c>
      <c r="H96" s="210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47415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9">
        <f t="shared" si="5"/>
        <v>0</v>
      </c>
      <c r="H97" s="210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47446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9">
        <f t="shared" si="5"/>
        <v>0</v>
      </c>
      <c r="H98" s="210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47476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9">
        <f t="shared" si="5"/>
        <v>0</v>
      </c>
      <c r="H99" s="210"/>
      <c r="I99" s="104"/>
      <c r="J99" s="104"/>
    </row>
    <row r="100" spans="1:19" s="4" customFormat="1" ht="16.5" thickBot="1" x14ac:dyDescent="0.25">
      <c r="A100" s="43"/>
      <c r="B100" s="213" t="s">
        <v>1</v>
      </c>
      <c r="C100" s="214"/>
      <c r="D100" s="93">
        <f>SUM(D40:D99)</f>
        <v>30000</v>
      </c>
      <c r="E100" s="93">
        <f>SUM(E40:E99)</f>
        <v>31437</v>
      </c>
      <c r="F100" s="99">
        <f>SUM(F40:F99)</f>
        <v>6</v>
      </c>
      <c r="G100" s="211">
        <f>SUM(G40:H99)</f>
        <v>61443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07" t="s">
        <v>6</v>
      </c>
      <c r="F102" s="207"/>
      <c r="G102" s="207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gB9gSboD/s6VqDh+nE1nImrj4wAN9wDgG2PxF4x0H9FdyCBPJa+ax8RU2JqEf0N6vrywhkkIOvEItTSaUjOKiQ==" saltValue="o7AcpzSTB55YbSe509S0ig==" spinCount="100000" sheet="1" selectLockedCells="1"/>
  <dataConsolidate/>
  <mergeCells count="93"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  <mergeCell ref="G43:H43"/>
    <mergeCell ref="G44:H44"/>
    <mergeCell ref="G50:H50"/>
    <mergeCell ref="G48:H48"/>
    <mergeCell ref="G49:H49"/>
    <mergeCell ref="G45:H45"/>
    <mergeCell ref="G46:H46"/>
    <mergeCell ref="G47:H47"/>
    <mergeCell ref="G42:H42"/>
    <mergeCell ref="G40:H40"/>
    <mergeCell ref="G41:H41"/>
    <mergeCell ref="B33:C33"/>
    <mergeCell ref="B34:C34"/>
    <mergeCell ref="B37:H37"/>
    <mergeCell ref="B38:C38"/>
    <mergeCell ref="G38:H38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56:H56"/>
    <mergeCell ref="G51:H51"/>
    <mergeCell ref="G52:H52"/>
    <mergeCell ref="G53:H53"/>
    <mergeCell ref="G57:H57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</mergeCells>
  <dataValidations count="1">
    <dataValidation type="list" allowBlank="1" showInputMessage="1" showErrorMessage="1" sqref="H2:I2" xr:uid="{00000000-0002-0000-0000-000000000000}">
      <formula1>L7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56" t="s">
        <v>16</v>
      </c>
      <c r="B1" s="257"/>
      <c r="C1" s="257"/>
      <c r="D1" s="25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51" t="s">
        <v>44</v>
      </c>
      <c r="B3" s="252">
        <v>0</v>
      </c>
      <c r="C3" s="252">
        <v>0</v>
      </c>
      <c r="D3" s="25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51" t="s">
        <v>45</v>
      </c>
      <c r="B5" s="252">
        <v>0</v>
      </c>
      <c r="C5" s="252">
        <v>0</v>
      </c>
      <c r="D5" s="25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51" t="s">
        <v>46</v>
      </c>
      <c r="B7" s="252">
        <v>0</v>
      </c>
      <c r="C7" s="252">
        <v>0</v>
      </c>
      <c r="D7" s="25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51" t="s">
        <v>158</v>
      </c>
      <c r="B9" s="252"/>
      <c r="C9" s="252"/>
      <c r="D9" s="25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51" t="s">
        <v>157</v>
      </c>
      <c r="B12" s="252">
        <v>0</v>
      </c>
      <c r="C12" s="252">
        <v>0</v>
      </c>
      <c r="D12" s="25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51" t="s">
        <v>47</v>
      </c>
      <c r="B14" s="252">
        <v>0</v>
      </c>
      <c r="C14" s="252">
        <v>0</v>
      </c>
      <c r="D14" s="25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51" t="s">
        <v>156</v>
      </c>
      <c r="B16" s="252">
        <v>0</v>
      </c>
      <c r="C16" s="252">
        <v>0</v>
      </c>
      <c r="D16" s="25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54" t="s">
        <v>8</v>
      </c>
      <c r="B19" s="25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1" t="s">
        <v>20</v>
      </c>
      <c r="B20" s="242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1" t="s">
        <v>9</v>
      </c>
      <c r="B21" s="242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1" t="s">
        <v>18</v>
      </c>
      <c r="B22" s="242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1" t="s">
        <v>19</v>
      </c>
      <c r="B23" s="242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44" t="s">
        <v>30</v>
      </c>
      <c r="B26" s="245"/>
      <c r="C26" s="245"/>
      <c r="D26" s="245"/>
      <c r="E26" s="245"/>
      <c r="F26" s="245"/>
      <c r="G26" s="246"/>
    </row>
    <row r="27" spans="1:8" ht="45.75" thickBot="1" x14ac:dyDescent="0.25">
      <c r="A27" s="247" t="s">
        <v>2</v>
      </c>
      <c r="B27" s="248"/>
      <c r="C27" s="83" t="s">
        <v>4</v>
      </c>
      <c r="D27" s="83" t="s">
        <v>17</v>
      </c>
      <c r="E27" s="83" t="s">
        <v>5</v>
      </c>
      <c r="F27" s="249" t="s">
        <v>3</v>
      </c>
      <c r="G27" s="250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43"/>
      <c r="E29" s="243"/>
      <c r="F29" s="243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12:D12"/>
    <mergeCell ref="A14:D14"/>
    <mergeCell ref="A16:D16"/>
    <mergeCell ref="A19:B19"/>
    <mergeCell ref="A1:D1"/>
    <mergeCell ref="A3:D3"/>
    <mergeCell ref="A5:D5"/>
    <mergeCell ref="A7:D7"/>
    <mergeCell ref="A9:D9"/>
    <mergeCell ref="A20:B20"/>
    <mergeCell ref="A21:B21"/>
    <mergeCell ref="D29:F29"/>
    <mergeCell ref="A23:B23"/>
    <mergeCell ref="A26:G26"/>
    <mergeCell ref="A27:B27"/>
    <mergeCell ref="F27:G27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zoomScale="85" zoomScaleNormal="85" workbookViewId="0">
      <selection activeCell="G4" sqref="G4"/>
    </sheetView>
  </sheetViews>
  <sheetFormatPr defaultColWidth="9.140625" defaultRowHeight="12.75" x14ac:dyDescent="0.2"/>
  <cols>
    <col min="1" max="1" width="35.140625" style="116" bestFit="1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29400</v>
      </c>
      <c r="C4" s="151">
        <v>24</v>
      </c>
      <c r="D4" s="152">
        <v>1E-4</v>
      </c>
      <c r="E4" s="152">
        <v>0</v>
      </c>
      <c r="F4" s="152">
        <v>4.99E-2</v>
      </c>
      <c r="G4" s="151" t="str">
        <f>I$2&amp;" "&amp;B4&amp;" "&amp;H$2</f>
        <v>max. 29400 грн.</v>
      </c>
      <c r="H4" s="185">
        <f>B4+J4</f>
        <v>30000</v>
      </c>
      <c r="I4" s="151">
        <v>3</v>
      </c>
      <c r="J4" s="151">
        <v>600</v>
      </c>
      <c r="K4" s="184">
        <v>0</v>
      </c>
      <c r="L4" s="153">
        <f t="shared" ref="L4" si="0">D4/12/(1-1/POWER(1+D4/12,C4))*H4+H4*F4</f>
        <v>2747.1302124861286</v>
      </c>
      <c r="M4" s="154">
        <f>F4</f>
        <v>4.99E-2</v>
      </c>
      <c r="N4" s="154"/>
      <c r="O4" s="155">
        <v>0</v>
      </c>
      <c r="P4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Satellite_0-3-24</vt:lpstr>
      <vt:lpstr>Перелік партнерів</vt:lpstr>
      <vt:lpstr>Назви</vt:lpstr>
      <vt:lpstr>Лист2</vt:lpstr>
      <vt:lpstr>'Satellite_0-3-24'!Область_друку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2024-12-24T10:00:04Z</dcterms:modified>
</cp:coreProperties>
</file>