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На Старт\"/>
    </mc:Choice>
  </mc:AlternateContent>
  <xr:revisionPtr revIDLastSave="0" documentId="13_ncr:1_{2DF60256-CF71-4723-9FB4-3CA76F7F60F7}" xr6:coauthVersionLast="47" xr6:coauthVersionMax="47" xr10:uidLastSave="{00000000-0000-0000-0000-000000000000}"/>
  <workbookProtection workbookAlgorithmName="SHA-512" workbookHashValue="Ce9xwFVgzFAGHOMLx4721KmvjArk+RrCeu7hWR6UU7GgHqefqYRig9rhGux3sp07QPq/oKFzlneyjEFb3Mdbwg==" workbookSaltValue="pzW01/53KwFqwdKGDpVSWw==" workbookSpinCount="100000" lockStructure="1"/>
  <bookViews>
    <workbookView xWindow="-120" yWindow="-120" windowWidth="29040" windowHeight="15990" tabRatio="831" xr2:uid="{00000000-000D-0000-FFFF-FFFF00000000}"/>
  </bookViews>
  <sheets>
    <sheet name="На Старт" sheetId="189" r:id="rId1"/>
    <sheet name="Лист2" sheetId="165" state="hidden" r:id="rId2"/>
    <sheet name="Назви" sheetId="161" state="hidden" r:id="rId3"/>
  </sheets>
  <definedNames>
    <definedName name="_xlnm._FilterDatabase" localSheetId="0" hidden="1">'На Старт'!$A$27:$H$89</definedName>
    <definedName name="_xlnm.Print_Area" localSheetId="0">'На Старт'!$A$1:$L$92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4" i="189" l="1"/>
  <c r="H4" i="165"/>
  <c r="K4" i="165" s="1"/>
  <c r="G4" i="165"/>
  <c r="K18" i="189" l="1"/>
  <c r="H8" i="165"/>
  <c r="K8" i="165" s="1"/>
  <c r="G8" i="165"/>
  <c r="K16" i="189" l="1"/>
  <c r="K17" i="189"/>
  <c r="G6" i="165"/>
  <c r="H6" i="165"/>
  <c r="K6" i="165" s="1"/>
  <c r="G7" i="165"/>
  <c r="H7" i="165"/>
  <c r="K7" i="165" s="1"/>
  <c r="K15" i="189" l="1"/>
  <c r="K13" i="189"/>
  <c r="K12" i="189"/>
  <c r="K11" i="189"/>
  <c r="G27" i="189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G5" i="165" l="1"/>
  <c r="H5" i="165"/>
  <c r="K5" i="165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F23" i="161" s="1"/>
  <c r="E23" i="161"/>
  <c r="C24" i="161"/>
  <c r="H24" i="161" s="1"/>
  <c r="D24" i="161"/>
  <c r="G24" i="161" s="1"/>
  <c r="E24" i="161"/>
  <c r="F24" i="161"/>
  <c r="G23" i="161" l="1"/>
  <c r="G22" i="161"/>
  <c r="G21" i="161"/>
</calcChain>
</file>

<file path=xl/sharedStrings.xml><?xml version="1.0" encoding="utf-8"?>
<sst xmlns="http://schemas.openxmlformats.org/spreadsheetml/2006/main" count="56" uniqueCount="51">
  <si>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</si>
  <si>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</si>
  <si>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</si>
  <si>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</si>
  <si>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</si>
  <si>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</si>
  <si>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</si>
  <si>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</si>
  <si>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</si>
  <si>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</si>
  <si>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</si>
  <si>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</si>
  <si>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</si>
  <si>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</si>
  <si>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</si>
  <si>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</si>
  <si>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</si>
  <si>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</si>
  <si>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</si>
  <si>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</si>
  <si>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</si>
  <si>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</si>
  <si>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</si>
  <si>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</si>
  <si>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</si>
  <si>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</si>
  <si>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</si>
  <si>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</si>
  <si>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</si>
  <si>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</si>
  <si>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</si>
  <si>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</si>
  <si>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</si>
  <si>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</si>
  <si>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</si>
  <si>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</si>
  <si>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</si>
  <si>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</si>
  <si>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</si>
  <si>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</si>
  <si>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</si>
  <si>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</si>
  <si>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</si>
  <si>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</si>
  <si>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</si>
  <si>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</si>
  <si>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На Старт, 60 міс.</t>
  </si>
  <si>
    <t>На Старт, 48 міс.</t>
  </si>
  <si>
    <t>На Старт, 36 міс.</t>
  </si>
  <si>
    <t>На Старт, 24 міс.</t>
  </si>
  <si>
    <t>На Старт,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</si>
</sst>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514078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580753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4" t="s">
        <v>40</v>
      </c>
      <c r="I1" s="144"/>
    </row>
    <row r="2" spans="1:29" ht="12.75" customHeight="1" x14ac:dyDescent="0.2">
      <c r="A2" s="2"/>
      <c r="B2" s="50"/>
      <c r="C2" s="50"/>
      <c r="D2" s="50"/>
      <c r="E2" s="108">
        <f>VLOOKUP('На Старт'!H2,Лист2!A:N,14,FALSE)</f>
        <v>5000</v>
      </c>
      <c r="F2" s="100">
        <f>VLOOKUP(H$2,Лист2!$A:$G,2,0)</f>
        <v>500000</v>
      </c>
      <c r="G2" s="116">
        <f ca="1">TODAY()</f>
        <v>45679</v>
      </c>
      <c r="H2" s="145" t="s">
        <v>50</v>
      </c>
      <c r="I2" s="146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300000</v>
      </c>
      <c r="F3" s="147" t="str">
        <f>IF(E3="x","Збільшіть суму",IF(E3="y","Зменшіть суму",""))</f>
        <v/>
      </c>
      <c r="G3" s="57">
        <f>Назви!B33</f>
        <v>30.4</v>
      </c>
      <c r="H3" s="148" t="str">
        <f>VLOOKUP(H$2,Лист2!$A:$G,7,0)</f>
        <v>max. 500000 грн.</v>
      </c>
      <c r="I3" s="149"/>
      <c r="J3" s="42"/>
    </row>
    <row r="4" spans="1:29" ht="9" customHeight="1" thickBot="1" x14ac:dyDescent="0.25">
      <c r="A4" s="2"/>
      <c r="B4" s="2"/>
      <c r="C4" s="2"/>
      <c r="D4" s="2"/>
      <c r="E4" s="108"/>
      <c r="F4" s="147"/>
      <c r="G4" s="35"/>
      <c r="H4" s="124"/>
      <c r="I4" s="42"/>
      <c r="J4" s="42"/>
      <c r="K4" s="54"/>
    </row>
    <row r="5" spans="1:29" ht="21" customHeight="1" thickBot="1" x14ac:dyDescent="0.25">
      <c r="A5" s="1"/>
      <c r="B5" s="150" t="s">
        <v>45</v>
      </c>
      <c r="C5" s="151"/>
      <c r="D5" s="151"/>
      <c r="E5" s="152"/>
      <c r="F5" s="134">
        <v>300000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41" t="s">
        <v>41</v>
      </c>
      <c r="C7" s="142"/>
      <c r="D7" s="142"/>
      <c r="E7" s="143"/>
      <c r="F7" s="13">
        <f>D89</f>
        <v>300000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1" t="str">
        <f>Назви!A3</f>
        <v>Процентна ставка, % річних</v>
      </c>
      <c r="C9" s="142">
        <f>Назви!B3</f>
        <v>0</v>
      </c>
      <c r="D9" s="142">
        <f>Назви!C3</f>
        <v>0</v>
      </c>
      <c r="E9" s="143">
        <f>Назви!D3</f>
        <v>0</v>
      </c>
      <c r="F9" s="32">
        <f>VLOOKUP(H$2,Лист2!$A:$G,4,0)</f>
        <v>0.65</v>
      </c>
      <c r="G9" s="153"/>
      <c r="H9" s="153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1" t="str">
        <f>Назви!A5</f>
        <v>Разовий страховий тариф, %</v>
      </c>
      <c r="C11" s="142">
        <f>Назви!B5</f>
        <v>0</v>
      </c>
      <c r="D11" s="142">
        <f>Назви!C5</f>
        <v>0</v>
      </c>
      <c r="E11" s="143">
        <f>Назви!D5</f>
        <v>0</v>
      </c>
      <c r="F11" s="32">
        <f>VLOOKUP(H$2,Лист2!$A:$G,5,0)</f>
        <v>0</v>
      </c>
      <c r="G11" s="153"/>
      <c r="H11" s="153"/>
      <c r="I11" s="3"/>
      <c r="J11" s="43"/>
      <c r="K11" s="113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 t="e">
        <f>Лист2!#REF!</f>
        <v>#REF!</v>
      </c>
    </row>
    <row r="13" spans="1:29" x14ac:dyDescent="0.2">
      <c r="A13" s="1"/>
      <c r="B13" s="141" t="str">
        <f>Назви!A7</f>
        <v xml:space="preserve">Щомісячна плата за обслуговування кредитної заборгованості, % </v>
      </c>
      <c r="C13" s="142">
        <f>Назви!B7</f>
        <v>0</v>
      </c>
      <c r="D13" s="142">
        <f>Назви!C7</f>
        <v>0</v>
      </c>
      <c r="E13" s="143">
        <f>Назви!D7</f>
        <v>0</v>
      </c>
      <c r="F13" s="32">
        <f>VLOOKUP(H$2,Лист2!$A:$G,6,0)</f>
        <v>0</v>
      </c>
      <c r="G13" s="153"/>
      <c r="H13" s="153"/>
      <c r="I13" s="3"/>
      <c r="J13" s="43"/>
      <c r="K13" s="113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На Старт, 60 міс.</v>
      </c>
    </row>
    <row r="15" spans="1:29" x14ac:dyDescent="0.2">
      <c r="A15" s="1"/>
      <c r="B15" s="141" t="str">
        <f>Назви!A9</f>
        <v>Термін кредитування (міс.)</v>
      </c>
      <c r="C15" s="142">
        <f>Назви!B9</f>
        <v>0</v>
      </c>
      <c r="D15" s="142">
        <f>Назви!C9</f>
        <v>0</v>
      </c>
      <c r="E15" s="143">
        <f>Назви!D9</f>
        <v>0</v>
      </c>
      <c r="F15" s="53">
        <f>VLOOKUP(H$2,Лист2!$A:$G,3,0)</f>
        <v>12</v>
      </c>
      <c r="G15" s="153"/>
      <c r="H15" s="153"/>
      <c r="I15" s="3"/>
      <c r="J15" s="43"/>
      <c r="K15" s="113" t="str">
        <f>Лист2!A5</f>
        <v>На Старт, 48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Лист2!A6</f>
        <v>На Старт, 36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300000</v>
      </c>
      <c r="F17" s="50"/>
      <c r="G17" s="96"/>
      <c r="H17" s="11"/>
      <c r="I17" s="1"/>
      <c r="J17" s="99"/>
      <c r="K17" s="113" t="str">
        <f>Лист2!A7</f>
        <v>На Старт, 24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4" t="str">
        <f>Назви!A12</f>
        <v>Орієнтовний платіж, грн.</v>
      </c>
      <c r="C18" s="155">
        <f>Назви!B12</f>
        <v>0</v>
      </c>
      <c r="D18" s="155">
        <f>Назви!C12</f>
        <v>0</v>
      </c>
      <c r="E18" s="156">
        <f>Назви!D12</f>
        <v>0</v>
      </c>
      <c r="F18" s="13">
        <f>PMT(F9/12,F15,-E17)+F13*E17</f>
        <v>34647.657004914945</v>
      </c>
      <c r="G18" s="157"/>
      <c r="H18" s="158"/>
      <c r="I18" s="105"/>
      <c r="J18" s="44"/>
      <c r="K18" s="113" t="str">
        <f>Лист2!A8</f>
        <v>На Старт, 12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4" t="str">
        <f>Назви!A14</f>
        <v>Орієнтовні загальні витрати за кредитом, грн.</v>
      </c>
      <c r="C20" s="155">
        <f>Назви!B14</f>
        <v>0</v>
      </c>
      <c r="D20" s="155">
        <f>Назви!C14</f>
        <v>0</v>
      </c>
      <c r="E20" s="156">
        <f>Назви!D14</f>
        <v>0</v>
      </c>
      <c r="F20" s="13">
        <f>G89-E3</f>
        <v>115771.88405897934</v>
      </c>
      <c r="G20" s="159"/>
      <c r="H20" s="159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4" t="str">
        <f>Назви!A16</f>
        <v>Орієнтовна загальна вартість кредиту, грн.</v>
      </c>
      <c r="C22" s="155">
        <f>Назви!B16</f>
        <v>0</v>
      </c>
      <c r="D22" s="155">
        <f>Назви!C16</f>
        <v>0</v>
      </c>
      <c r="E22" s="156">
        <f>Назви!D16</f>
        <v>0</v>
      </c>
      <c r="F22" s="13">
        <f>E3+F20</f>
        <v>415771.88405897934</v>
      </c>
      <c r="G22" s="153"/>
      <c r="H22" s="153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4" t="str">
        <f>Назви!A18</f>
        <v>Орієнтовна реальна річна процентна ставка, %</v>
      </c>
      <c r="C24" s="155"/>
      <c r="D24" s="155"/>
      <c r="E24" s="156"/>
      <c r="F24" s="32">
        <f ca="1">XIRR(G28:G88,C28:C88)</f>
        <v>0.88883708715438847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1" t="str">
        <f>Назви!A27</f>
        <v>Орієнтовний порядок повернення кредиту</v>
      </c>
      <c r="C26" s="162"/>
      <c r="D26" s="162"/>
      <c r="E26" s="162"/>
      <c r="F26" s="162"/>
      <c r="G26" s="162"/>
      <c r="H26" s="163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4" t="str">
        <f>Назви!F28</f>
        <v>Сума платежу за розрахунковий період, грн.</v>
      </c>
      <c r="H27" s="165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45679</v>
      </c>
      <c r="D28" s="92"/>
      <c r="E28" s="93"/>
      <c r="F28" s="92"/>
      <c r="G28" s="166">
        <f>-1*E3</f>
        <v>-300000</v>
      </c>
      <c r="H28" s="167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45710</v>
      </c>
      <c r="D29" s="129">
        <f>IFERROR(PPMT($F$9/12,B29,$F$15,-$E$3),0)</f>
        <v>18397.657004914945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16250</v>
      </c>
      <c r="G29" s="160">
        <f>SUM(D29:F29)</f>
        <v>34647.657004914945</v>
      </c>
      <c r="H29" s="160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45738</v>
      </c>
      <c r="D30" s="129">
        <f t="shared" ref="D30:D88" si="1">IFERROR(PPMT($F$9/12,B30,$F$15,-$E$3),0)</f>
        <v>19394.19675934784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15253.460245567108</v>
      </c>
      <c r="G30" s="160">
        <f t="shared" ref="G30:G88" si="3">SUM(D30:F30)</f>
        <v>34647.657004914945</v>
      </c>
      <c r="H30" s="160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45769</v>
      </c>
      <c r="D31" s="129">
        <f t="shared" si="1"/>
        <v>20444.715750479179</v>
      </c>
      <c r="E31" s="140">
        <f>IF(B31&lt;=$F$15,(E$17*(VLOOKUP($H$2,Лист2!$A:$N,12,0)-(B31-1)*VLOOKUP($H$2,Лист2!$A:$N,13,0))),0)</f>
        <v>0</v>
      </c>
      <c r="F31" s="130">
        <f t="shared" si="2"/>
        <v>14202.941254435762</v>
      </c>
      <c r="G31" s="160">
        <f t="shared" si="3"/>
        <v>34647.657004914945</v>
      </c>
      <c r="H31" s="160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45799</v>
      </c>
      <c r="D32" s="129">
        <f t="shared" si="1"/>
        <v>21552.137853630134</v>
      </c>
      <c r="E32" s="140">
        <f>IF(B32&lt;=$F$15,(E$17*(VLOOKUP($H$2,Лист2!$A:$N,12,0)-(B32-1)*VLOOKUP($H$2,Лист2!$A:$N,13,0))),0)</f>
        <v>0</v>
      </c>
      <c r="F32" s="130">
        <f t="shared" si="2"/>
        <v>13095.519151284811</v>
      </c>
      <c r="G32" s="160">
        <f t="shared" si="3"/>
        <v>34647.657004914945</v>
      </c>
      <c r="H32" s="160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45830</v>
      </c>
      <c r="D33" s="129">
        <f t="shared" si="1"/>
        <v>22719.545320701764</v>
      </c>
      <c r="E33" s="140">
        <f>IF(B33&lt;=$F$15,(E$17*(VLOOKUP($H$2,Лист2!$A:$N,12,0)-(B33-1)*VLOOKUP($H$2,Лист2!$A:$N,13,0))),0)</f>
        <v>0</v>
      </c>
      <c r="F33" s="130">
        <f t="shared" si="2"/>
        <v>11928.111684213178</v>
      </c>
      <c r="G33" s="160">
        <f t="shared" si="3"/>
        <v>34647.657004914945</v>
      </c>
      <c r="H33" s="160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45860</v>
      </c>
      <c r="D34" s="129">
        <f t="shared" si="1"/>
        <v>23950.187358906445</v>
      </c>
      <c r="E34" s="140">
        <f>IF(B34&lt;=$F$15,(E$17*(VLOOKUP($H$2,Лист2!$A:$N,12,0)-(B34-1)*VLOOKUP($H$2,Лист2!$A:$N,13,0))),0)</f>
        <v>0</v>
      </c>
      <c r="F34" s="130">
        <f t="shared" si="2"/>
        <v>10697.469646008498</v>
      </c>
      <c r="G34" s="160">
        <f t="shared" si="3"/>
        <v>34647.657004914945</v>
      </c>
      <c r="H34" s="160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45891</v>
      </c>
      <c r="D35" s="129">
        <f t="shared" si="1"/>
        <v>25247.489174180544</v>
      </c>
      <c r="E35" s="140">
        <f>IF(B35&lt;=$F$15,(E$17*(VLOOKUP($H$2,Лист2!$A:$N,12,0)-(B35-1)*VLOOKUP($H$2,Лист2!$A:$N,13,0))),0)</f>
        <v>0</v>
      </c>
      <c r="F35" s="130">
        <f t="shared" si="2"/>
        <v>9400.1678307343991</v>
      </c>
      <c r="G35" s="160">
        <f t="shared" si="3"/>
        <v>34647.657004914945</v>
      </c>
      <c r="H35" s="160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45922</v>
      </c>
      <c r="D36" s="129">
        <f t="shared" si="1"/>
        <v>26615.061504448655</v>
      </c>
      <c r="E36" s="140">
        <f>IF(B36&lt;=$F$15,(E$17*(VLOOKUP($H$2,Лист2!$A:$N,12,0)-(B36-1)*VLOOKUP($H$2,Лист2!$A:$N,13,0))),0)</f>
        <v>0</v>
      </c>
      <c r="F36" s="130">
        <f t="shared" si="2"/>
        <v>8032.5955004662865</v>
      </c>
      <c r="G36" s="160">
        <f t="shared" si="3"/>
        <v>34647.657004914945</v>
      </c>
      <c r="H36" s="160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45952</v>
      </c>
      <c r="D37" s="129">
        <f t="shared" si="1"/>
        <v>28056.710669272958</v>
      </c>
      <c r="E37" s="140">
        <f>IF(B37&lt;=$F$15,(E$17*(VLOOKUP($H$2,Лист2!$A:$N,12,0)-(B37-1)*VLOOKUP($H$2,Лист2!$A:$N,13,0))),0)</f>
        <v>0</v>
      </c>
      <c r="F37" s="130">
        <f t="shared" si="2"/>
        <v>6590.9463356419847</v>
      </c>
      <c r="G37" s="160">
        <f t="shared" si="3"/>
        <v>34647.657004914945</v>
      </c>
      <c r="H37" s="160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45983</v>
      </c>
      <c r="D38" s="129">
        <f t="shared" si="1"/>
        <v>29576.449163858582</v>
      </c>
      <c r="E38" s="140">
        <f>IF(B38&lt;=$F$15,(E$17*(VLOOKUP($H$2,Лист2!$A:$N,12,0)-(B38-1)*VLOOKUP($H$2,Лист2!$A:$N,13,0))),0)</f>
        <v>0</v>
      </c>
      <c r="F38" s="130">
        <f t="shared" si="2"/>
        <v>5071.2078410563681</v>
      </c>
      <c r="G38" s="160">
        <f t="shared" si="3"/>
        <v>34647.657004914952</v>
      </c>
      <c r="H38" s="160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46013</v>
      </c>
      <c r="D39" s="129">
        <f t="shared" si="1"/>
        <v>31178.506826900917</v>
      </c>
      <c r="E39" s="140">
        <f>IF(B39&lt;=$F$15,(E$17*(VLOOKUP($H$2,Лист2!$A:$N,12,0)-(B39-1)*VLOOKUP($H$2,Лист2!$A:$N,13,0))),0)</f>
        <v>0</v>
      </c>
      <c r="F39" s="130">
        <f t="shared" si="2"/>
        <v>3469.1501780140275</v>
      </c>
      <c r="G39" s="160">
        <f t="shared" si="3"/>
        <v>34647.657004914945</v>
      </c>
      <c r="H39" s="160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46044</v>
      </c>
      <c r="D40" s="129">
        <f t="shared" si="1"/>
        <v>32867.342613358051</v>
      </c>
      <c r="E40" s="140">
        <f>IF(B40&lt;=$F$15,(E$17*(VLOOKUP($H$2,Лист2!$A:$N,12,0)-(B40-1)*VLOOKUP($H$2,Лист2!$A:$N,13,0))),0)</f>
        <v>0</v>
      </c>
      <c r="F40" s="130">
        <f t="shared" si="2"/>
        <v>1780.3143915568942</v>
      </c>
      <c r="G40" s="160">
        <f t="shared" si="3"/>
        <v>34647.657004914945</v>
      </c>
      <c r="H40" s="160"/>
      <c r="I40" s="3"/>
    </row>
    <row r="41" spans="1:11" x14ac:dyDescent="0.2">
      <c r="A41" s="1">
        <v>13</v>
      </c>
      <c r="B41" s="101">
        <v>13</v>
      </c>
      <c r="C41" s="138">
        <f t="shared" ca="1" si="0"/>
        <v>46075</v>
      </c>
      <c r="D41" s="129">
        <f t="shared" si="1"/>
        <v>0</v>
      </c>
      <c r="E41" s="140">
        <f>IF(B41&lt;=$F$15,(E$17*(VLOOKUP($H$2,Лист2!$A:$N,12,0)-(B41-1)*VLOOKUP($H$2,Лист2!$A:$N,13,0))),0)</f>
        <v>0</v>
      </c>
      <c r="F41" s="130">
        <f t="shared" si="2"/>
        <v>0</v>
      </c>
      <c r="G41" s="160">
        <f t="shared" si="3"/>
        <v>0</v>
      </c>
      <c r="H41" s="160"/>
      <c r="I41" s="3"/>
    </row>
    <row r="42" spans="1:11" x14ac:dyDescent="0.2">
      <c r="A42" s="1">
        <v>14</v>
      </c>
      <c r="B42" s="101">
        <v>14</v>
      </c>
      <c r="C42" s="138">
        <f t="shared" ca="1" si="0"/>
        <v>46103</v>
      </c>
      <c r="D42" s="129">
        <f t="shared" si="1"/>
        <v>0</v>
      </c>
      <c r="E42" s="140">
        <f>IF(B42&lt;=$F$15,(E$17*(VLOOKUP($H$2,Лист2!$A:$N,12,0)-(B42-1)*VLOOKUP($H$2,Лист2!$A:$N,13,0))),0)</f>
        <v>0</v>
      </c>
      <c r="F42" s="130">
        <f t="shared" si="2"/>
        <v>0</v>
      </c>
      <c r="G42" s="160">
        <f t="shared" si="3"/>
        <v>0</v>
      </c>
      <c r="H42" s="160"/>
      <c r="I42" s="3"/>
    </row>
    <row r="43" spans="1:11" x14ac:dyDescent="0.2">
      <c r="A43" s="1">
        <v>15</v>
      </c>
      <c r="B43" s="101">
        <v>15</v>
      </c>
      <c r="C43" s="138">
        <f t="shared" ca="1" si="0"/>
        <v>46134</v>
      </c>
      <c r="D43" s="129">
        <f t="shared" si="1"/>
        <v>0</v>
      </c>
      <c r="E43" s="140">
        <f>IF(B43&lt;=$F$15,(E$17*(VLOOKUP($H$2,Лист2!$A:$N,12,0)-(B43-1)*VLOOKUP($H$2,Лист2!$A:$N,13,0))),0)</f>
        <v>0</v>
      </c>
      <c r="F43" s="130">
        <f t="shared" si="2"/>
        <v>0</v>
      </c>
      <c r="G43" s="160">
        <f t="shared" si="3"/>
        <v>0</v>
      </c>
      <c r="H43" s="160"/>
      <c r="I43" s="3"/>
    </row>
    <row r="44" spans="1:11" x14ac:dyDescent="0.2">
      <c r="A44" s="1">
        <v>16</v>
      </c>
      <c r="B44" s="101">
        <v>16</v>
      </c>
      <c r="C44" s="138">
        <f t="shared" ca="1" si="0"/>
        <v>46164</v>
      </c>
      <c r="D44" s="129">
        <f t="shared" si="1"/>
        <v>0</v>
      </c>
      <c r="E44" s="140">
        <f>IF(B44&lt;=$F$15,(E$17*(VLOOKUP($H$2,Лист2!$A:$N,12,0)-(B44-1)*VLOOKUP($H$2,Лист2!$A:$N,13,0))),0)</f>
        <v>0</v>
      </c>
      <c r="F44" s="130">
        <f t="shared" si="2"/>
        <v>0</v>
      </c>
      <c r="G44" s="160">
        <f t="shared" si="3"/>
        <v>0</v>
      </c>
      <c r="H44" s="160"/>
      <c r="I44" s="3"/>
    </row>
    <row r="45" spans="1:11" x14ac:dyDescent="0.2">
      <c r="A45" s="1">
        <v>22</v>
      </c>
      <c r="B45" s="101">
        <v>17</v>
      </c>
      <c r="C45" s="138">
        <f t="shared" ca="1" si="0"/>
        <v>46195</v>
      </c>
      <c r="D45" s="129">
        <f t="shared" si="1"/>
        <v>0</v>
      </c>
      <c r="E45" s="140">
        <f>IF(B45&lt;=$F$15,(E$17*(VLOOKUP($H$2,Лист2!$A:$N,12,0)-(B45-1)*VLOOKUP($H$2,Лист2!$A:$N,13,0))),0)</f>
        <v>0</v>
      </c>
      <c r="F45" s="130">
        <f t="shared" si="2"/>
        <v>0</v>
      </c>
      <c r="G45" s="160">
        <f t="shared" si="3"/>
        <v>0</v>
      </c>
      <c r="H45" s="160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46225</v>
      </c>
      <c r="D46" s="129">
        <f t="shared" si="1"/>
        <v>0</v>
      </c>
      <c r="E46" s="140">
        <f>IF(B46&lt;=$F$15,(E$17*(VLOOKUP($H$2,Лист2!$A:$N,12,0)-(B46-1)*VLOOKUP($H$2,Лист2!$A:$N,13,0))),0)</f>
        <v>0</v>
      </c>
      <c r="F46" s="130">
        <f t="shared" si="2"/>
        <v>0</v>
      </c>
      <c r="G46" s="160">
        <f t="shared" si="3"/>
        <v>0</v>
      </c>
      <c r="H46" s="160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46256</v>
      </c>
      <c r="D47" s="129">
        <f t="shared" si="1"/>
        <v>0</v>
      </c>
      <c r="E47" s="140">
        <f>IF(B47&lt;=$F$15,(E$17*(VLOOKUP($H$2,Лист2!$A:$N,12,0)-(B47-1)*VLOOKUP($H$2,Лист2!$A:$N,13,0))),0)</f>
        <v>0</v>
      </c>
      <c r="F47" s="130">
        <f t="shared" si="2"/>
        <v>0</v>
      </c>
      <c r="G47" s="160">
        <f t="shared" si="3"/>
        <v>0</v>
      </c>
      <c r="H47" s="160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46287</v>
      </c>
      <c r="D48" s="129">
        <f t="shared" si="1"/>
        <v>0</v>
      </c>
      <c r="E48" s="140">
        <f>IF(B48&lt;=$F$15,(E$17*(VLOOKUP($H$2,Лист2!$A:$N,12,0)-(B48-1)*VLOOKUP($H$2,Лист2!$A:$N,13,0))),0)</f>
        <v>0</v>
      </c>
      <c r="F48" s="130">
        <f t="shared" si="2"/>
        <v>0</v>
      </c>
      <c r="G48" s="160">
        <f t="shared" si="3"/>
        <v>0</v>
      </c>
      <c r="H48" s="160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46317</v>
      </c>
      <c r="D49" s="129">
        <f t="shared" si="1"/>
        <v>0</v>
      </c>
      <c r="E49" s="140">
        <f>IF(B49&lt;=$F$15,(E$17*(VLOOKUP($H$2,Лист2!$A:$N,12,0)-(B49-1)*VLOOKUP($H$2,Лист2!$A:$N,13,0))),0)</f>
        <v>0</v>
      </c>
      <c r="F49" s="130">
        <f t="shared" si="2"/>
        <v>0</v>
      </c>
      <c r="G49" s="160">
        <f t="shared" si="3"/>
        <v>0</v>
      </c>
      <c r="H49" s="160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46348</v>
      </c>
      <c r="D50" s="129">
        <f t="shared" si="1"/>
        <v>0</v>
      </c>
      <c r="E50" s="140">
        <f>IF(B50&lt;=$F$15,(E$17*(VLOOKUP($H$2,Лист2!$A:$N,12,0)-(B50-1)*VLOOKUP($H$2,Лист2!$A:$N,13,0))),0)</f>
        <v>0</v>
      </c>
      <c r="F50" s="130">
        <f t="shared" si="2"/>
        <v>0</v>
      </c>
      <c r="G50" s="160">
        <f t="shared" si="3"/>
        <v>0</v>
      </c>
      <c r="H50" s="160"/>
      <c r="I50" s="3"/>
    </row>
    <row r="51" spans="1:11" x14ac:dyDescent="0.2">
      <c r="A51" s="49">
        <v>25</v>
      </c>
      <c r="B51" s="101">
        <v>23</v>
      </c>
      <c r="C51" s="138">
        <f t="shared" ca="1" si="0"/>
        <v>46378</v>
      </c>
      <c r="D51" s="129">
        <f t="shared" si="1"/>
        <v>0</v>
      </c>
      <c r="E51" s="140">
        <f>IF(B51&lt;=$F$15,(E$17*(VLOOKUP($H$2,Лист2!$A:$N,12,0)-(B51-1)*VLOOKUP($H$2,Лист2!$A:$N,13,0))),0)</f>
        <v>0</v>
      </c>
      <c r="F51" s="130">
        <f t="shared" si="2"/>
        <v>0</v>
      </c>
      <c r="G51" s="160">
        <f t="shared" si="3"/>
        <v>0</v>
      </c>
      <c r="H51" s="160"/>
      <c r="I51" s="3"/>
    </row>
    <row r="52" spans="1:11" x14ac:dyDescent="0.2">
      <c r="A52" s="49"/>
      <c r="B52" s="101">
        <v>24</v>
      </c>
      <c r="C52" s="138">
        <f t="shared" ca="1" si="0"/>
        <v>46409</v>
      </c>
      <c r="D52" s="129">
        <f t="shared" si="1"/>
        <v>0</v>
      </c>
      <c r="E52" s="140">
        <f>IF(B52&lt;=$F$15,(E$17*(VLOOKUP($H$2,Лист2!$A:$N,12,0)-(B52-1)*VLOOKUP($H$2,Лист2!$A:$N,13,0))),0)</f>
        <v>0</v>
      </c>
      <c r="F52" s="130">
        <f t="shared" si="2"/>
        <v>0</v>
      </c>
      <c r="G52" s="160">
        <f t="shared" si="3"/>
        <v>0</v>
      </c>
      <c r="H52" s="160"/>
      <c r="I52" s="3"/>
    </row>
    <row r="53" spans="1:11" x14ac:dyDescent="0.2">
      <c r="A53" s="49"/>
      <c r="B53" s="101">
        <v>25</v>
      </c>
      <c r="C53" s="138">
        <f t="shared" ca="1" si="0"/>
        <v>46440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60">
        <f t="shared" si="3"/>
        <v>0</v>
      </c>
      <c r="H53" s="160"/>
      <c r="I53" s="3"/>
    </row>
    <row r="54" spans="1:11" x14ac:dyDescent="0.2">
      <c r="A54" s="49"/>
      <c r="B54" s="101">
        <v>26</v>
      </c>
      <c r="C54" s="138">
        <f t="shared" ca="1" si="0"/>
        <v>46468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60">
        <f t="shared" si="3"/>
        <v>0</v>
      </c>
      <c r="H54" s="160"/>
      <c r="I54" s="3"/>
    </row>
    <row r="55" spans="1:11" x14ac:dyDescent="0.2">
      <c r="A55" s="49"/>
      <c r="B55" s="101">
        <v>27</v>
      </c>
      <c r="C55" s="138">
        <f t="shared" ca="1" si="0"/>
        <v>46499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60">
        <f t="shared" si="3"/>
        <v>0</v>
      </c>
      <c r="H55" s="160"/>
      <c r="I55" s="3"/>
    </row>
    <row r="56" spans="1:11" x14ac:dyDescent="0.2">
      <c r="A56" s="49"/>
      <c r="B56" s="101">
        <v>28</v>
      </c>
      <c r="C56" s="138">
        <f t="shared" ca="1" si="0"/>
        <v>46529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60">
        <f t="shared" si="3"/>
        <v>0</v>
      </c>
      <c r="H56" s="160"/>
      <c r="I56" s="3"/>
    </row>
    <row r="57" spans="1:11" x14ac:dyDescent="0.2">
      <c r="A57" s="49"/>
      <c r="B57" s="101">
        <v>29</v>
      </c>
      <c r="C57" s="138">
        <f t="shared" ca="1" si="0"/>
        <v>46560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60">
        <f t="shared" si="3"/>
        <v>0</v>
      </c>
      <c r="H57" s="160"/>
      <c r="I57" s="3"/>
    </row>
    <row r="58" spans="1:11" x14ac:dyDescent="0.2">
      <c r="A58" s="49">
        <v>25</v>
      </c>
      <c r="B58" s="101">
        <v>30</v>
      </c>
      <c r="C58" s="138">
        <f t="shared" ca="1" si="0"/>
        <v>46590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60">
        <f t="shared" si="3"/>
        <v>0</v>
      </c>
      <c r="H58" s="160"/>
      <c r="I58" s="106"/>
      <c r="J58" s="106"/>
    </row>
    <row r="59" spans="1:11" x14ac:dyDescent="0.2">
      <c r="A59" s="49"/>
      <c r="B59" s="101">
        <v>31</v>
      </c>
      <c r="C59" s="138">
        <f t="shared" ca="1" si="0"/>
        <v>46621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60">
        <f t="shared" si="3"/>
        <v>0</v>
      </c>
      <c r="H59" s="160"/>
      <c r="I59" s="106"/>
      <c r="J59" s="106"/>
    </row>
    <row r="60" spans="1:11" x14ac:dyDescent="0.2">
      <c r="A60" s="49"/>
      <c r="B60" s="101">
        <v>32</v>
      </c>
      <c r="C60" s="138">
        <f t="shared" ca="1" si="0"/>
        <v>46652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60">
        <f t="shared" si="3"/>
        <v>0</v>
      </c>
      <c r="H60" s="160"/>
      <c r="I60" s="106"/>
      <c r="J60" s="106"/>
    </row>
    <row r="61" spans="1:11" x14ac:dyDescent="0.2">
      <c r="A61" s="49"/>
      <c r="B61" s="101">
        <v>33</v>
      </c>
      <c r="C61" s="138">
        <f t="shared" ca="1" si="0"/>
        <v>46682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60">
        <f t="shared" si="3"/>
        <v>0</v>
      </c>
      <c r="H61" s="160"/>
      <c r="I61" s="106"/>
      <c r="J61" s="106"/>
    </row>
    <row r="62" spans="1:11" x14ac:dyDescent="0.2">
      <c r="A62" s="49"/>
      <c r="B62" s="101">
        <v>34</v>
      </c>
      <c r="C62" s="138">
        <f t="shared" ca="1" si="0"/>
        <v>46713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60">
        <f t="shared" si="3"/>
        <v>0</v>
      </c>
      <c r="H62" s="160"/>
      <c r="I62" s="106"/>
      <c r="J62" s="106"/>
    </row>
    <row r="63" spans="1:11" x14ac:dyDescent="0.2">
      <c r="A63" s="49"/>
      <c r="B63" s="101">
        <v>35</v>
      </c>
      <c r="C63" s="138">
        <f t="shared" ca="1" si="0"/>
        <v>46743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60">
        <f t="shared" si="3"/>
        <v>0</v>
      </c>
      <c r="H63" s="160"/>
      <c r="I63" s="106"/>
      <c r="J63" s="106"/>
    </row>
    <row r="64" spans="1:11" x14ac:dyDescent="0.2">
      <c r="A64" s="49"/>
      <c r="B64" s="101">
        <v>36</v>
      </c>
      <c r="C64" s="138">
        <f t="shared" ca="1" si="0"/>
        <v>46774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60">
        <f t="shared" si="3"/>
        <v>0</v>
      </c>
      <c r="H64" s="160"/>
      <c r="I64" s="106"/>
      <c r="J64" s="106"/>
    </row>
    <row r="65" spans="1:10" x14ac:dyDescent="0.2">
      <c r="A65" s="49"/>
      <c r="B65" s="101">
        <v>37</v>
      </c>
      <c r="C65" s="104">
        <f t="shared" ca="1" si="0"/>
        <v>46805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60">
        <f t="shared" si="3"/>
        <v>0</v>
      </c>
      <c r="H65" s="160"/>
      <c r="I65" s="106"/>
      <c r="J65" s="106"/>
    </row>
    <row r="66" spans="1:10" x14ac:dyDescent="0.2">
      <c r="A66" s="49"/>
      <c r="B66" s="101">
        <v>38</v>
      </c>
      <c r="C66" s="104">
        <f t="shared" ca="1" si="0"/>
        <v>46834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60">
        <f t="shared" si="3"/>
        <v>0</v>
      </c>
      <c r="H66" s="160"/>
      <c r="I66" s="106"/>
      <c r="J66" s="106"/>
    </row>
    <row r="67" spans="1:10" x14ac:dyDescent="0.2">
      <c r="A67" s="49"/>
      <c r="B67" s="101">
        <v>39</v>
      </c>
      <c r="C67" s="104">
        <f t="shared" ca="1" si="0"/>
        <v>46865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60">
        <f t="shared" si="3"/>
        <v>0</v>
      </c>
      <c r="H67" s="160"/>
      <c r="I67" s="106"/>
      <c r="J67" s="106"/>
    </row>
    <row r="68" spans="1:10" x14ac:dyDescent="0.2">
      <c r="A68" s="49"/>
      <c r="B68" s="101">
        <v>40</v>
      </c>
      <c r="C68" s="104">
        <f t="shared" ca="1" si="0"/>
        <v>46895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60">
        <f t="shared" si="3"/>
        <v>0</v>
      </c>
      <c r="H68" s="160"/>
      <c r="I68" s="106"/>
      <c r="J68" s="106"/>
    </row>
    <row r="69" spans="1:10" x14ac:dyDescent="0.2">
      <c r="A69" s="49"/>
      <c r="B69" s="101">
        <v>41</v>
      </c>
      <c r="C69" s="104">
        <f t="shared" ca="1" si="0"/>
        <v>46926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60">
        <f t="shared" si="3"/>
        <v>0</v>
      </c>
      <c r="H69" s="160"/>
      <c r="I69" s="106"/>
      <c r="J69" s="106"/>
    </row>
    <row r="70" spans="1:10" x14ac:dyDescent="0.2">
      <c r="A70" s="49"/>
      <c r="B70" s="101">
        <v>42</v>
      </c>
      <c r="C70" s="104">
        <f t="shared" ca="1" si="0"/>
        <v>46956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60">
        <f t="shared" si="3"/>
        <v>0</v>
      </c>
      <c r="H70" s="160"/>
      <c r="I70" s="106"/>
      <c r="J70" s="106"/>
    </row>
    <row r="71" spans="1:10" x14ac:dyDescent="0.2">
      <c r="A71" s="49"/>
      <c r="B71" s="101">
        <v>43</v>
      </c>
      <c r="C71" s="104">
        <f t="shared" ca="1" si="0"/>
        <v>46987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60">
        <f t="shared" si="3"/>
        <v>0</v>
      </c>
      <c r="H71" s="160"/>
      <c r="I71" s="106"/>
      <c r="J71" s="106"/>
    </row>
    <row r="72" spans="1:10" x14ac:dyDescent="0.2">
      <c r="A72" s="49"/>
      <c r="B72" s="101">
        <v>44</v>
      </c>
      <c r="C72" s="104">
        <f t="shared" ca="1" si="0"/>
        <v>47018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60">
        <f t="shared" si="3"/>
        <v>0</v>
      </c>
      <c r="H72" s="160"/>
      <c r="I72" s="106"/>
      <c r="J72" s="106"/>
    </row>
    <row r="73" spans="1:10" x14ac:dyDescent="0.2">
      <c r="A73" s="49"/>
      <c r="B73" s="101">
        <v>45</v>
      </c>
      <c r="C73" s="104">
        <f t="shared" ca="1" si="0"/>
        <v>47048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60">
        <f t="shared" si="3"/>
        <v>0</v>
      </c>
      <c r="H73" s="160"/>
      <c r="I73" s="106"/>
      <c r="J73" s="106"/>
    </row>
    <row r="74" spans="1:10" x14ac:dyDescent="0.2">
      <c r="A74" s="49"/>
      <c r="B74" s="101">
        <v>46</v>
      </c>
      <c r="C74" s="104">
        <f t="shared" ca="1" si="0"/>
        <v>47079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60">
        <f t="shared" si="3"/>
        <v>0</v>
      </c>
      <c r="H74" s="160"/>
      <c r="I74" s="106"/>
      <c r="J74" s="106"/>
    </row>
    <row r="75" spans="1:10" x14ac:dyDescent="0.2">
      <c r="A75" s="49"/>
      <c r="B75" s="101">
        <v>47</v>
      </c>
      <c r="C75" s="104">
        <f t="shared" ca="1" si="0"/>
        <v>47109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60">
        <f t="shared" si="3"/>
        <v>0</v>
      </c>
      <c r="H75" s="160"/>
      <c r="I75" s="106"/>
      <c r="J75" s="106"/>
    </row>
    <row r="76" spans="1:10" x14ac:dyDescent="0.2">
      <c r="A76" s="49"/>
      <c r="B76" s="101">
        <v>48</v>
      </c>
      <c r="C76" s="104">
        <f t="shared" ca="1" si="0"/>
        <v>47140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60">
        <f t="shared" si="3"/>
        <v>0</v>
      </c>
      <c r="H76" s="160"/>
      <c r="I76" s="106"/>
      <c r="J76" s="106"/>
    </row>
    <row r="77" spans="1:10" x14ac:dyDescent="0.2">
      <c r="A77" s="49"/>
      <c r="B77" s="101">
        <v>49</v>
      </c>
      <c r="C77" s="104">
        <f t="shared" ca="1" si="0"/>
        <v>47171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60">
        <f t="shared" si="3"/>
        <v>0</v>
      </c>
      <c r="H77" s="160"/>
      <c r="I77" s="106"/>
      <c r="J77" s="106"/>
    </row>
    <row r="78" spans="1:10" x14ac:dyDescent="0.2">
      <c r="A78" s="49"/>
      <c r="B78" s="101">
        <v>50</v>
      </c>
      <c r="C78" s="104">
        <f t="shared" ca="1" si="0"/>
        <v>47199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60">
        <f t="shared" si="3"/>
        <v>0</v>
      </c>
      <c r="H78" s="160"/>
      <c r="I78" s="106"/>
      <c r="J78" s="106"/>
    </row>
    <row r="79" spans="1:10" x14ac:dyDescent="0.2">
      <c r="A79" s="49"/>
      <c r="B79" s="101">
        <v>51</v>
      </c>
      <c r="C79" s="104">
        <f t="shared" ca="1" si="0"/>
        <v>47230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60">
        <f t="shared" si="3"/>
        <v>0</v>
      </c>
      <c r="H79" s="160"/>
      <c r="I79" s="106"/>
      <c r="J79" s="106"/>
    </row>
    <row r="80" spans="1:10" x14ac:dyDescent="0.2">
      <c r="A80" s="49"/>
      <c r="B80" s="101">
        <v>52</v>
      </c>
      <c r="C80" s="104">
        <f t="shared" ca="1" si="0"/>
        <v>47260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60">
        <f t="shared" si="3"/>
        <v>0</v>
      </c>
      <c r="H80" s="160"/>
      <c r="I80" s="106"/>
      <c r="J80" s="106"/>
    </row>
    <row r="81" spans="1:10" x14ac:dyDescent="0.2">
      <c r="A81" s="49"/>
      <c r="B81" s="101">
        <v>53</v>
      </c>
      <c r="C81" s="104">
        <f t="shared" ca="1" si="0"/>
        <v>47291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60">
        <f t="shared" si="3"/>
        <v>0</v>
      </c>
      <c r="H81" s="160"/>
      <c r="I81" s="106"/>
      <c r="J81" s="106"/>
    </row>
    <row r="82" spans="1:10" x14ac:dyDescent="0.2">
      <c r="A82" s="49"/>
      <c r="B82" s="101">
        <v>54</v>
      </c>
      <c r="C82" s="104">
        <f t="shared" ca="1" si="0"/>
        <v>47321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60">
        <f t="shared" si="3"/>
        <v>0</v>
      </c>
      <c r="H82" s="160"/>
      <c r="I82" s="106"/>
      <c r="J82" s="106"/>
    </row>
    <row r="83" spans="1:10" x14ac:dyDescent="0.2">
      <c r="A83" s="49"/>
      <c r="B83" s="101">
        <v>55</v>
      </c>
      <c r="C83" s="104">
        <f t="shared" ca="1" si="0"/>
        <v>47352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60">
        <f t="shared" si="3"/>
        <v>0</v>
      </c>
      <c r="H83" s="160"/>
      <c r="I83" s="106"/>
      <c r="J83" s="106"/>
    </row>
    <row r="84" spans="1:10" x14ac:dyDescent="0.2">
      <c r="A84" s="49"/>
      <c r="B84" s="101">
        <v>56</v>
      </c>
      <c r="C84" s="104">
        <f t="shared" ca="1" si="0"/>
        <v>47383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60">
        <f t="shared" si="3"/>
        <v>0</v>
      </c>
      <c r="H84" s="160"/>
      <c r="I84" s="106"/>
      <c r="J84" s="106"/>
    </row>
    <row r="85" spans="1:10" x14ac:dyDescent="0.2">
      <c r="A85" s="49"/>
      <c r="B85" s="101">
        <v>57</v>
      </c>
      <c r="C85" s="104">
        <f t="shared" ca="1" si="0"/>
        <v>47413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60">
        <f t="shared" si="3"/>
        <v>0</v>
      </c>
      <c r="H85" s="160"/>
      <c r="I85" s="106"/>
      <c r="J85" s="106"/>
    </row>
    <row r="86" spans="1:10" x14ac:dyDescent="0.2">
      <c r="A86" s="49"/>
      <c r="B86" s="101">
        <v>58</v>
      </c>
      <c r="C86" s="104">
        <f t="shared" ca="1" si="0"/>
        <v>47444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60">
        <f t="shared" si="3"/>
        <v>0</v>
      </c>
      <c r="H86" s="160"/>
      <c r="I86" s="106"/>
      <c r="J86" s="106"/>
    </row>
    <row r="87" spans="1:10" x14ac:dyDescent="0.2">
      <c r="A87" s="49"/>
      <c r="B87" s="101">
        <v>59</v>
      </c>
      <c r="C87" s="104">
        <f t="shared" ca="1" si="0"/>
        <v>47474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60">
        <f t="shared" si="3"/>
        <v>0</v>
      </c>
      <c r="H87" s="160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47505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73">
        <f t="shared" si="3"/>
        <v>0</v>
      </c>
      <c r="H88" s="173"/>
      <c r="I88" s="106"/>
      <c r="J88" s="106"/>
    </row>
    <row r="89" spans="1:10" ht="16.5" thickBot="1" x14ac:dyDescent="0.25">
      <c r="A89" s="49"/>
      <c r="B89" s="168" t="s">
        <v>1</v>
      </c>
      <c r="C89" s="169"/>
      <c r="D89" s="133">
        <f>SUM(D29:D88)</f>
        <v>300000</v>
      </c>
      <c r="E89" s="133">
        <f>SUM(E29:E88)</f>
        <v>0</v>
      </c>
      <c r="F89" s="133">
        <f>SUM(F29:F88)</f>
        <v>115771.88405897931</v>
      </c>
      <c r="G89" s="170">
        <f>SUM(G29:H88)</f>
        <v>415771.88405897934</v>
      </c>
      <c r="H89" s="171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2" t="s">
        <v>3</v>
      </c>
      <c r="F91" s="172"/>
      <c r="G91" s="172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u9t7kyRRK/0z5zEqSGPswW/dHtA5I5LPbbXOGKFOxPTaaNjX9R4W7a/6qeF5MxCjDBaIwtdtzAaVsv6yRMGqYw==" saltValue="8ja76GBKqKmsYaTUTvITqw==" spinCount="100000" sheet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$K$14:$K$18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8"/>
  <sheetViews>
    <sheetView zoomScale="85" zoomScaleNormal="85" workbookViewId="0">
      <selection activeCell="F25" sqref="F25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300000</v>
      </c>
      <c r="C4" s="117">
        <v>60</v>
      </c>
      <c r="D4" s="118">
        <v>0.65</v>
      </c>
      <c r="E4" s="118">
        <v>0</v>
      </c>
      <c r="F4" s="118">
        <v>0</v>
      </c>
      <c r="G4" s="117" t="str">
        <f t="shared" ref="G4" si="0">I$2&amp;" "&amp;B4&amp;" "&amp;H$2</f>
        <v>max. 300000 грн.</v>
      </c>
      <c r="H4" s="117">
        <f t="shared" ref="H4" si="1">B4+B4*E4</f>
        <v>300000</v>
      </c>
      <c r="I4" s="117"/>
      <c r="J4" s="117">
        <v>4</v>
      </c>
      <c r="K4" s="119">
        <f t="shared" ref="K4" si="2">D4/12/(1-1/POWER(1+D4/12,C4))*H4+H4*F4</f>
        <v>16966.188804456997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47</v>
      </c>
      <c r="B5" s="117">
        <v>300000</v>
      </c>
      <c r="C5" s="117">
        <v>48</v>
      </c>
      <c r="D5" s="118">
        <v>0.65</v>
      </c>
      <c r="E5" s="118">
        <v>0</v>
      </c>
      <c r="F5" s="118">
        <v>0</v>
      </c>
      <c r="G5" s="117" t="str">
        <f t="shared" ref="G5" si="3">I$2&amp;" "&amp;B5&amp;" "&amp;H$2</f>
        <v>max. 300000 грн.</v>
      </c>
      <c r="H5" s="117">
        <f t="shared" ref="H5" si="4">B5+B5*E5</f>
        <v>300000</v>
      </c>
      <c r="I5" s="117"/>
      <c r="J5" s="117">
        <v>4</v>
      </c>
      <c r="K5" s="119">
        <f t="shared" ref="K5" si="5">D5/12/(1-1/POWER(1+D5/12,C5))*H5+H5*F5</f>
        <v>17653.405179154946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48</v>
      </c>
      <c r="B6" s="117">
        <v>500000</v>
      </c>
      <c r="C6" s="117">
        <v>36</v>
      </c>
      <c r="D6" s="118">
        <v>0.65</v>
      </c>
      <c r="E6" s="118">
        <v>0</v>
      </c>
      <c r="F6" s="118">
        <v>0</v>
      </c>
      <c r="G6" s="117" t="str">
        <f t="shared" ref="G6:G7" si="6">I$2&amp;" "&amp;B6&amp;" "&amp;H$2</f>
        <v>max. 500000 грн.</v>
      </c>
      <c r="H6" s="117">
        <f t="shared" ref="H6:H7" si="7">B6+B6*E6</f>
        <v>500000</v>
      </c>
      <c r="I6" s="117"/>
      <c r="J6" s="117">
        <v>5</v>
      </c>
      <c r="K6" s="119">
        <f t="shared" ref="K6:K7" si="8">D6/12/(1-1/POWER(1+D6/12,C6))*H6+H6*F6</f>
        <v>31852.073354451943</v>
      </c>
      <c r="L6" s="120">
        <v>0</v>
      </c>
      <c r="M6" s="121">
        <v>0</v>
      </c>
      <c r="N6" s="117">
        <v>5000</v>
      </c>
    </row>
    <row r="7" spans="1:14" x14ac:dyDescent="0.2">
      <c r="A7" s="117" t="s">
        <v>49</v>
      </c>
      <c r="B7" s="117">
        <v>500000</v>
      </c>
      <c r="C7" s="117">
        <v>24</v>
      </c>
      <c r="D7" s="118">
        <v>0.65</v>
      </c>
      <c r="E7" s="118">
        <v>0</v>
      </c>
      <c r="F7" s="118">
        <v>0</v>
      </c>
      <c r="G7" s="117" t="str">
        <f t="shared" si="6"/>
        <v>max. 500000 грн.</v>
      </c>
      <c r="H7" s="117">
        <f t="shared" si="7"/>
        <v>500000</v>
      </c>
      <c r="I7" s="117"/>
      <c r="J7" s="117">
        <v>6</v>
      </c>
      <c r="K7" s="119">
        <f t="shared" si="8"/>
        <v>37718.070494337859</v>
      </c>
      <c r="L7" s="120">
        <v>0</v>
      </c>
      <c r="M7" s="121">
        <v>0</v>
      </c>
      <c r="N7" s="117">
        <v>5000</v>
      </c>
    </row>
    <row r="8" spans="1:14" x14ac:dyDescent="0.2">
      <c r="A8" s="117" t="s">
        <v>50</v>
      </c>
      <c r="B8" s="117">
        <v>500000</v>
      </c>
      <c r="C8" s="117">
        <v>12</v>
      </c>
      <c r="D8" s="118">
        <v>0.65</v>
      </c>
      <c r="E8" s="118">
        <v>0</v>
      </c>
      <c r="F8" s="118">
        <v>0</v>
      </c>
      <c r="G8" s="117" t="str">
        <f t="shared" ref="G8" si="9">I$2&amp;" "&amp;B8&amp;" "&amp;H$2</f>
        <v>max. 500000 грн.</v>
      </c>
      <c r="H8" s="117">
        <f t="shared" ref="H8" si="10">B8+B8*E8</f>
        <v>500000</v>
      </c>
      <c r="I8" s="117"/>
      <c r="J8" s="117">
        <v>7</v>
      </c>
      <c r="K8" s="119">
        <f t="shared" ref="K8" si="11">D8/12/(1-1/POWER(1+D8/12,C8))*H8+H8*F8</f>
        <v>57746.095008191529</v>
      </c>
      <c r="L8" s="120">
        <v>0</v>
      </c>
      <c r="M8" s="121">
        <v>0</v>
      </c>
      <c r="N8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9" t="s">
        <v>13</v>
      </c>
      <c r="B1" s="190"/>
      <c r="C1" s="190"/>
      <c r="D1" s="19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4" t="s">
        <v>30</v>
      </c>
      <c r="B3" s="185"/>
      <c r="C3" s="185"/>
      <c r="D3" s="18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4" t="s">
        <v>29</v>
      </c>
      <c r="B5" s="185"/>
      <c r="C5" s="185"/>
      <c r="D5" s="18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4" t="s">
        <v>31</v>
      </c>
      <c r="B7" s="185"/>
      <c r="C7" s="185"/>
      <c r="D7" s="18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4" t="s">
        <v>44</v>
      </c>
      <c r="B9" s="185"/>
      <c r="C9" s="185"/>
      <c r="D9" s="18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4" t="s">
        <v>43</v>
      </c>
      <c r="B12" s="185"/>
      <c r="C12" s="185"/>
      <c r="D12" s="18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4" t="s">
        <v>38</v>
      </c>
      <c r="B14" s="185"/>
      <c r="C14" s="185"/>
      <c r="D14" s="18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4" t="s">
        <v>42</v>
      </c>
      <c r="B16" s="185"/>
      <c r="C16" s="185"/>
      <c r="D16" s="18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7" t="s">
        <v>5</v>
      </c>
      <c r="B20" s="18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4" t="s">
        <v>16</v>
      </c>
      <c r="B21" s="175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4" t="s">
        <v>6</v>
      </c>
      <c r="B22" s="175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4" t="s">
        <v>14</v>
      </c>
      <c r="B23" s="175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4" t="s">
        <v>15</v>
      </c>
      <c r="B24" s="175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77" t="s">
        <v>36</v>
      </c>
      <c r="B27" s="178"/>
      <c r="C27" s="178"/>
      <c r="D27" s="178"/>
      <c r="E27" s="178"/>
      <c r="F27" s="178"/>
      <c r="G27" s="179"/>
    </row>
    <row r="28" spans="1:8" ht="45.75" thickBot="1" x14ac:dyDescent="0.25">
      <c r="A28" s="180" t="s">
        <v>2</v>
      </c>
      <c r="B28" s="181"/>
      <c r="C28" s="84" t="s">
        <v>34</v>
      </c>
      <c r="D28" s="84" t="s">
        <v>32</v>
      </c>
      <c r="E28" s="84" t="s">
        <v>33</v>
      </c>
      <c r="F28" s="182" t="s">
        <v>35</v>
      </c>
      <c r="G28" s="183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6"/>
      <c r="E30" s="176"/>
      <c r="F30" s="176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На Старт</vt:lpstr>
      <vt:lpstr>Лист2</vt:lpstr>
      <vt:lpstr>Назви</vt:lpstr>
      <vt:lpstr>'На Старт'!Область_друку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2025-01-22T13:23:37Z</dcterms:modified>
</cp:coreProperties>
</file>