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МОБІЛЬНИЙ JUNIOR\Сайт\"/>
    </mc:Choice>
  </mc:AlternateContent>
  <xr:revisionPtr revIDLastSave="0" documentId="13_ncr:1_{5327855D-3F25-4B79-913A-6A2547523C7A}" xr6:coauthVersionLast="47" xr6:coauthVersionMax="47" xr10:uidLastSave="{00000000-0000-0000-0000-000000000000}"/>
  <workbookProtection workbookAlgorithmName="SHA-512" workbookHashValue="By731jmFTuuGuMkPsmT6UffVEhedte5HfAeVmoGHtOqoq8EB54owcImI5SWnN8okphA4bkXEY7y23JVRK1oTlQ==" workbookSaltValue="yk12ntqMbx9I1aXRcRzhoQ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 Junior" sheetId="189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 Junior'!$A$27:$H$89</definedName>
    <definedName name="_xlnm.Print_Area" localSheetId="0">'Мобільний Junior'!$A$1:$J$92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9" i="189"/>
  <c r="H5" i="165"/>
  <c r="K5" i="165" s="1"/>
  <c r="G4" i="165"/>
  <c r="F11" i="189"/>
  <c r="F7" i="189" s="1"/>
  <c r="H4" i="165"/>
  <c r="G5" i="165" l="1"/>
  <c r="E16" i="189"/>
  <c r="K18" i="189" l="1"/>
  <c r="K4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s="1"/>
  <c r="E17" i="189" s="1"/>
  <c r="F88" i="189" l="1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/>
  <c r="E76" i="189" l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<sst xmlns="http://schemas.openxmlformats.org/spreadsheetml/2006/main" count="53" uniqueCount="48">
  <si>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</si>
  <si>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</si>
  <si>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</si>
  <si>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</si>
  <si>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</si>
  <si>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</si>
  <si>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</si>
  <si>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</si>
  <si>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</si>
  <si>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</si>
  <si>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</si>
  <si>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</si>
  <si>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</si>
  <si>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</si>
  <si>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</si>
  <si>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</si>
  <si>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</si>
  <si>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</si>
  <si>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</si>
  <si>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</si>
  <si>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</si>
  <si>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</si>
  <si>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</si>
  <si>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</si>
  <si>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</si>
  <si>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</si>
  <si>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</si>
  <si>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</si>
  <si>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</si>
  <si>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</si>
  <si>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</si>
  <si>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</si>
  <si>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</si>
  <si>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</si>
  <si>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</si>
  <si>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</si>
  <si>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</si>
  <si>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</si>
  <si>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</si>
  <si>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</si>
  <si>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</si>
  <si>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</si>
  <si>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</si>
  <si>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</si>
  <si>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</si>
  <si>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Мобільний Junior,  12 міс.</t>
  </si>
  <si>
    <t>Сума кредиту з врахуванням комісій, грн.</t>
  </si>
  <si>
    <t>Мобільний Junior Позитив,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</si>
</sst>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514078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580753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7" t="s">
        <v>39</v>
      </c>
      <c r="I1" s="147"/>
    </row>
    <row r="2" spans="1:29" ht="12.75" customHeight="1" x14ac:dyDescent="0.2">
      <c r="A2" s="2"/>
      <c r="B2" s="50"/>
      <c r="C2" s="50"/>
      <c r="D2" s="50"/>
      <c r="E2" s="108">
        <f>VLOOKUP('Мобільний Junior'!H2,Лист2!A:N,14,FALSE)</f>
        <v>1900</v>
      </c>
      <c r="F2" s="100">
        <f>VLOOKUP(H$2,Лист2!$A:$G,2,0)</f>
        <v>9900</v>
      </c>
      <c r="G2" s="116">
        <f ca="1">TODAY()</f>
        <v>45743</v>
      </c>
      <c r="H2" s="148" t="s">
        <v>45</v>
      </c>
      <c r="I2" s="149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7000</v>
      </c>
      <c r="F3" s="150" t="str">
        <f>IF(E3="x","Збільшіть суму",IF(E3="y","Зменшіть суму",""))</f>
        <v/>
      </c>
      <c r="G3" s="57">
        <f>Назви!B33</f>
        <v>30.4</v>
      </c>
      <c r="H3" s="151" t="str">
        <f>VLOOKUP(H$2,Лист2!$A:$G,7,0)</f>
        <v>max. 10000 грн.</v>
      </c>
      <c r="I3" s="152"/>
      <c r="J3" s="42"/>
    </row>
    <row r="4" spans="1:29" ht="9" customHeight="1" thickBot="1" x14ac:dyDescent="0.25">
      <c r="A4" s="2"/>
      <c r="B4" s="2"/>
      <c r="C4" s="2"/>
      <c r="D4" s="2"/>
      <c r="E4" s="108"/>
      <c r="F4" s="150"/>
      <c r="G4" s="35"/>
      <c r="H4" s="124"/>
      <c r="I4" s="42"/>
      <c r="J4" s="42"/>
      <c r="K4" s="54"/>
    </row>
    <row r="5" spans="1:29" ht="21" customHeight="1" thickBot="1" x14ac:dyDescent="0.25">
      <c r="A5" s="1"/>
      <c r="B5" s="153" t="s">
        <v>43</v>
      </c>
      <c r="C5" s="154"/>
      <c r="D5" s="154"/>
      <c r="E5" s="155"/>
      <c r="F5" s="134">
        <v>7000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4" t="s">
        <v>46</v>
      </c>
      <c r="C7" s="145"/>
      <c r="D7" s="145"/>
      <c r="E7" s="146"/>
      <c r="F7" s="13">
        <f>F5+F11</f>
        <v>7100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4" t="str">
        <f>Назви!A3</f>
        <v>Процентна ставка, % річних</v>
      </c>
      <c r="C9" s="145">
        <f>Назви!B3</f>
        <v>0</v>
      </c>
      <c r="D9" s="145">
        <f>Назви!C3</f>
        <v>0</v>
      </c>
      <c r="E9" s="146">
        <f>Назви!D3</f>
        <v>0</v>
      </c>
      <c r="F9" s="32">
        <f>VLOOKUP(H$2,Лист2!$A:$G,4,0)</f>
        <v>0.89</v>
      </c>
      <c r="G9" s="156"/>
      <c r="H9" s="156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4" t="str">
        <f>Назви!A5</f>
        <v>Разовий комісія, грн.</v>
      </c>
      <c r="C11" s="145">
        <f>Назви!B5</f>
        <v>0</v>
      </c>
      <c r="D11" s="145">
        <f>Назви!C5</f>
        <v>0</v>
      </c>
      <c r="E11" s="146">
        <f>Назви!D5</f>
        <v>0</v>
      </c>
      <c r="F11" s="143">
        <f>VLOOKUP(H$2,Лист2!$A:$G,5,0)</f>
        <v>100</v>
      </c>
      <c r="G11" s="156"/>
      <c r="H11" s="156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4" t="str">
        <f>Назви!A7</f>
        <v xml:space="preserve">Щомісячна плата за обслуговування кредитної заборгованості, % </v>
      </c>
      <c r="C13" s="145">
        <f>Назви!B7</f>
        <v>0</v>
      </c>
      <c r="D13" s="145">
        <f>Назви!C7</f>
        <v>0</v>
      </c>
      <c r="E13" s="146">
        <f>Назви!D7</f>
        <v>0</v>
      </c>
      <c r="F13" s="32">
        <f>VLOOKUP(H$2,Лист2!$A:$G,6,0)</f>
        <v>0</v>
      </c>
      <c r="G13" s="156"/>
      <c r="H13" s="156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44" t="str">
        <f>Назви!A9</f>
        <v>Термін кредитування (міс.)</v>
      </c>
      <c r="C15" s="145">
        <f>Назви!B9</f>
        <v>0</v>
      </c>
      <c r="D15" s="145">
        <f>Назви!C9</f>
        <v>0</v>
      </c>
      <c r="E15" s="146">
        <f>Назви!D9</f>
        <v>0</v>
      </c>
      <c r="F15" s="53">
        <f>VLOOKUP(H$2,Лист2!$A:$G,3,0)</f>
        <v>12</v>
      </c>
      <c r="G15" s="156"/>
      <c r="H15" s="156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F11</f>
        <v>100</v>
      </c>
      <c r="F16" s="50"/>
      <c r="G16" s="96"/>
      <c r="H16" s="11"/>
      <c r="I16" s="1"/>
      <c r="J16" s="44"/>
      <c r="K16" s="11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7100</v>
      </c>
      <c r="F17" s="50"/>
      <c r="G17" s="96"/>
      <c r="H17" s="11"/>
      <c r="I17" s="1"/>
      <c r="J17" s="99"/>
      <c r="K17" s="11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7" t="str">
        <f>Назви!A12</f>
        <v>Орієнтовний платіж, грн.</v>
      </c>
      <c r="C18" s="158">
        <f>Назви!B12</f>
        <v>0</v>
      </c>
      <c r="D18" s="158">
        <f>Назви!C12</f>
        <v>0</v>
      </c>
      <c r="E18" s="159">
        <f>Назви!D12</f>
        <v>0</v>
      </c>
      <c r="F18" s="13">
        <f>PMT(F9/12,F15,-F7)</f>
        <v>913.857340070443</v>
      </c>
      <c r="G18" s="160"/>
      <c r="H18" s="161"/>
      <c r="I18" s="105"/>
      <c r="J18" s="44"/>
      <c r="K18" s="113" t="str">
        <f>Лист2!A4</f>
        <v>Мобільний Junior,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 t="str">
        <f>Лист2!A5</f>
        <v>Мобільний Junior Позитив, 12 міс.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7" t="str">
        <f>Назви!A14</f>
        <v>Орієнтовні загальні витрати за кредитом, грн.</v>
      </c>
      <c r="C20" s="158">
        <f>Назви!B14</f>
        <v>0</v>
      </c>
      <c r="D20" s="158">
        <f>Назви!C14</f>
        <v>0</v>
      </c>
      <c r="E20" s="159">
        <f>Назви!D14</f>
        <v>0</v>
      </c>
      <c r="F20" s="13">
        <f>G89-E3</f>
        <v>3966.2880808453137</v>
      </c>
      <c r="G20" s="162"/>
      <c r="H20" s="162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7" t="str">
        <f>Назви!A16</f>
        <v>Орієнтовна загальна вартість кредиту, грн.</v>
      </c>
      <c r="C22" s="158">
        <f>Назви!B16</f>
        <v>0</v>
      </c>
      <c r="D22" s="158">
        <f>Назви!C16</f>
        <v>0</v>
      </c>
      <c r="E22" s="159">
        <f>Назви!D16</f>
        <v>0</v>
      </c>
      <c r="F22" s="13">
        <f>E3+F20</f>
        <v>10966.288080845314</v>
      </c>
      <c r="G22" s="156"/>
      <c r="H22" s="156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7" t="str">
        <f>Назви!A18</f>
        <v>Орієнтовна реальна річна процентна ставка, %</v>
      </c>
      <c r="C24" s="158"/>
      <c r="D24" s="158"/>
      <c r="E24" s="159"/>
      <c r="F24" s="32">
        <f ca="1">XIRR(G28:G88,C28:C88)</f>
        <v>1.4200762391090394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4" t="str">
        <f>Назви!A27</f>
        <v>Орієнтовний порядок повернення кредиту</v>
      </c>
      <c r="C26" s="165"/>
      <c r="D26" s="165"/>
      <c r="E26" s="165"/>
      <c r="F26" s="165"/>
      <c r="G26" s="165"/>
      <c r="H26" s="166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7" t="str">
        <f>Назви!F28</f>
        <v>Сума платежу за розрахунковий період, грн.</v>
      </c>
      <c r="H27" s="168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45743</v>
      </c>
      <c r="D28" s="92"/>
      <c r="E28" s="93"/>
      <c r="F28" s="92"/>
      <c r="G28" s="169">
        <f>-1*E3</f>
        <v>-7000</v>
      </c>
      <c r="H28" s="170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45774</v>
      </c>
      <c r="D29" s="129">
        <f>IFERROR(PPMT($F$9/12,B29,$F$15,-$F$7),0)</f>
        <v>387.27400673710974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526.58333333333337</v>
      </c>
      <c r="G29" s="163">
        <f>SUM(D29:F29)</f>
        <v>913.85734007044312</v>
      </c>
      <c r="H29" s="163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45804</v>
      </c>
      <c r="D30" s="129">
        <f t="shared" ref="D30:D88" si="1">IFERROR(PPMT($F$9/12,B30,$F$15,-$F$7),0)</f>
        <v>415.99682890344536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497.8605111669977</v>
      </c>
      <c r="G30" s="163">
        <f t="shared" ref="G30:G88" si="3">SUM(D30:F30)</f>
        <v>913.85734007044312</v>
      </c>
      <c r="H30" s="163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45835</v>
      </c>
      <c r="D31" s="129">
        <f t="shared" si="1"/>
        <v>446.84992704711755</v>
      </c>
      <c r="E31" s="140">
        <f>IF(B31&lt;=$F$15,(E$17*(VLOOKUP($H$2,Лист2!$A:$N,12,0)-(B31-1)*VLOOKUP($H$2,Лист2!$A:$N,13,0))),0)</f>
        <v>0</v>
      </c>
      <c r="F31" s="130">
        <f t="shared" si="2"/>
        <v>467.00741302332551</v>
      </c>
      <c r="G31" s="163">
        <f t="shared" si="3"/>
        <v>913.85734007044312</v>
      </c>
      <c r="H31" s="163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45865</v>
      </c>
      <c r="D32" s="129">
        <f t="shared" si="1"/>
        <v>479.99129663644544</v>
      </c>
      <c r="E32" s="140">
        <f>IF(B32&lt;=$F$15,(E$17*(VLOOKUP($H$2,Лист2!$A:$N,12,0)-(B32-1)*VLOOKUP($H$2,Лист2!$A:$N,13,0))),0)</f>
        <v>0</v>
      </c>
      <c r="F32" s="130">
        <f t="shared" si="2"/>
        <v>433.86604343399767</v>
      </c>
      <c r="G32" s="163">
        <f t="shared" si="3"/>
        <v>913.85734007044312</v>
      </c>
      <c r="H32" s="163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45896</v>
      </c>
      <c r="D33" s="129">
        <f t="shared" si="1"/>
        <v>515.59065113698182</v>
      </c>
      <c r="E33" s="140">
        <f>IF(B33&lt;=$F$15,(E$17*(VLOOKUP($H$2,Лист2!$A:$N,12,0)-(B33-1)*VLOOKUP($H$2,Лист2!$A:$N,13,0))),0)</f>
        <v>0</v>
      </c>
      <c r="F33" s="130">
        <f t="shared" si="2"/>
        <v>398.26668893346124</v>
      </c>
      <c r="G33" s="163">
        <f t="shared" si="3"/>
        <v>913.85734007044312</v>
      </c>
      <c r="H33" s="163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45927</v>
      </c>
      <c r="D34" s="129">
        <f t="shared" si="1"/>
        <v>553.83029109630797</v>
      </c>
      <c r="E34" s="140">
        <f>IF(B34&lt;=$F$15,(E$17*(VLOOKUP($H$2,Лист2!$A:$N,12,0)-(B34-1)*VLOOKUP($H$2,Лист2!$A:$N,13,0))),0)</f>
        <v>0</v>
      </c>
      <c r="F34" s="130">
        <f t="shared" si="2"/>
        <v>360.02704897413514</v>
      </c>
      <c r="G34" s="163">
        <f t="shared" si="3"/>
        <v>913.85734007044312</v>
      </c>
      <c r="H34" s="163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45957</v>
      </c>
      <c r="D35" s="129">
        <f t="shared" si="1"/>
        <v>594.90603768595088</v>
      </c>
      <c r="E35" s="140">
        <f>IF(B35&lt;=$F$15,(E$17*(VLOOKUP($H$2,Лист2!$A:$N,12,0)-(B35-1)*VLOOKUP($H$2,Лист2!$A:$N,13,0))),0)</f>
        <v>0</v>
      </c>
      <c r="F35" s="130">
        <f t="shared" si="2"/>
        <v>318.95130238449218</v>
      </c>
      <c r="G35" s="163">
        <f t="shared" si="3"/>
        <v>913.85734007044312</v>
      </c>
      <c r="H35" s="163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45988</v>
      </c>
      <c r="D36" s="129">
        <f t="shared" si="1"/>
        <v>639.02823548099218</v>
      </c>
      <c r="E36" s="140">
        <f>IF(B36&lt;=$F$15,(E$17*(VLOOKUP($H$2,Лист2!$A:$N,12,0)-(B36-1)*VLOOKUP($H$2,Лист2!$A:$N,13,0))),0)</f>
        <v>0</v>
      </c>
      <c r="F36" s="130">
        <f t="shared" si="2"/>
        <v>274.82910458945094</v>
      </c>
      <c r="G36" s="163">
        <f t="shared" si="3"/>
        <v>913.85734007044312</v>
      </c>
      <c r="H36" s="163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46018</v>
      </c>
      <c r="D37" s="129">
        <f t="shared" si="1"/>
        <v>686.42282961249907</v>
      </c>
      <c r="E37" s="140">
        <f>IF(B37&lt;=$F$15,(E$17*(VLOOKUP($H$2,Лист2!$A:$N,12,0)-(B37-1)*VLOOKUP($H$2,Лист2!$A:$N,13,0))),0)</f>
        <v>0</v>
      </c>
      <c r="F37" s="130">
        <f t="shared" si="2"/>
        <v>227.43451045794396</v>
      </c>
      <c r="G37" s="163">
        <f t="shared" si="3"/>
        <v>913.857340070443</v>
      </c>
      <c r="H37" s="163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46049</v>
      </c>
      <c r="D38" s="129">
        <f t="shared" si="1"/>
        <v>737.33252280875956</v>
      </c>
      <c r="E38" s="140">
        <f>IF(B38&lt;=$F$15,(E$17*(VLOOKUP($H$2,Лист2!$A:$N,12,0)-(B38-1)*VLOOKUP($H$2,Лист2!$A:$N,13,0))),0)</f>
        <v>0</v>
      </c>
      <c r="F38" s="130">
        <f t="shared" si="2"/>
        <v>176.52481726168355</v>
      </c>
      <c r="G38" s="163">
        <f t="shared" si="3"/>
        <v>913.85734007044312</v>
      </c>
      <c r="H38" s="163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46080</v>
      </c>
      <c r="D39" s="129">
        <f t="shared" si="1"/>
        <v>792.01801825040911</v>
      </c>
      <c r="E39" s="140">
        <f>IF(B39&lt;=$F$15,(E$17*(VLOOKUP($H$2,Лист2!$A:$N,12,0)-(B39-1)*VLOOKUP($H$2,Лист2!$A:$N,13,0))),0)</f>
        <v>0</v>
      </c>
      <c r="F39" s="130">
        <f t="shared" si="2"/>
        <v>121.83932182003396</v>
      </c>
      <c r="G39" s="163">
        <f t="shared" si="3"/>
        <v>913.85734007044312</v>
      </c>
      <c r="H39" s="163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46108</v>
      </c>
      <c r="D40" s="129">
        <f t="shared" si="1"/>
        <v>850.75935460398114</v>
      </c>
      <c r="E40" s="140">
        <f>IF(B40&lt;=$F$15,(E$17*(VLOOKUP($H$2,Лист2!$A:$N,12,0)-(B40-1)*VLOOKUP($H$2,Лист2!$A:$N,13,0))),0)</f>
        <v>0</v>
      </c>
      <c r="F40" s="130">
        <f t="shared" si="2"/>
        <v>63.097985466461942</v>
      </c>
      <c r="G40" s="163">
        <f t="shared" si="3"/>
        <v>913.85734007044312</v>
      </c>
      <c r="H40" s="163"/>
      <c r="I40" s="3"/>
    </row>
    <row r="41" spans="1:11" x14ac:dyDescent="0.2">
      <c r="A41" s="1">
        <v>13</v>
      </c>
      <c r="B41" s="101">
        <v>13</v>
      </c>
      <c r="C41" s="138">
        <f t="shared" ca="1" si="0"/>
        <v>46139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63">
        <f t="shared" si="3"/>
        <v>0</v>
      </c>
      <c r="H41" s="163"/>
      <c r="I41" s="3"/>
    </row>
    <row r="42" spans="1:11" x14ac:dyDescent="0.2">
      <c r="A42" s="1">
        <v>14</v>
      </c>
      <c r="B42" s="101">
        <v>14</v>
      </c>
      <c r="C42" s="138">
        <f t="shared" ca="1" si="0"/>
        <v>46169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63">
        <f t="shared" si="3"/>
        <v>0</v>
      </c>
      <c r="H42" s="163"/>
      <c r="I42" s="3"/>
    </row>
    <row r="43" spans="1:11" x14ac:dyDescent="0.2">
      <c r="A43" s="1">
        <v>15</v>
      </c>
      <c r="B43" s="101">
        <v>15</v>
      </c>
      <c r="C43" s="138">
        <f t="shared" ca="1" si="0"/>
        <v>46200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63">
        <f t="shared" si="3"/>
        <v>0</v>
      </c>
      <c r="H43" s="163"/>
      <c r="I43" s="3"/>
    </row>
    <row r="44" spans="1:11" x14ac:dyDescent="0.2">
      <c r="A44" s="1">
        <v>16</v>
      </c>
      <c r="B44" s="101">
        <v>16</v>
      </c>
      <c r="C44" s="138">
        <f t="shared" ca="1" si="0"/>
        <v>46230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63">
        <f t="shared" si="3"/>
        <v>0</v>
      </c>
      <c r="H44" s="163"/>
      <c r="I44" s="3"/>
    </row>
    <row r="45" spans="1:11" x14ac:dyDescent="0.2">
      <c r="A45" s="1">
        <v>22</v>
      </c>
      <c r="B45" s="101">
        <v>17</v>
      </c>
      <c r="C45" s="138">
        <f t="shared" ca="1" si="0"/>
        <v>46261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63">
        <f t="shared" si="3"/>
        <v>0</v>
      </c>
      <c r="H45" s="163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46292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63">
        <f t="shared" si="3"/>
        <v>0</v>
      </c>
      <c r="H46" s="163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46322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63">
        <f t="shared" si="3"/>
        <v>0</v>
      </c>
      <c r="H47" s="163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46353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63">
        <f t="shared" si="3"/>
        <v>0</v>
      </c>
      <c r="H48" s="163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46383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63">
        <f t="shared" si="3"/>
        <v>0</v>
      </c>
      <c r="H49" s="163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46414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63">
        <f t="shared" si="3"/>
        <v>0</v>
      </c>
      <c r="H50" s="163"/>
      <c r="I50" s="3"/>
    </row>
    <row r="51" spans="1:11" x14ac:dyDescent="0.2">
      <c r="A51" s="49">
        <v>25</v>
      </c>
      <c r="B51" s="101">
        <v>23</v>
      </c>
      <c r="C51" s="138">
        <f t="shared" ca="1" si="0"/>
        <v>46445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63">
        <f t="shared" si="3"/>
        <v>0</v>
      </c>
      <c r="H51" s="163"/>
      <c r="I51" s="3"/>
    </row>
    <row r="52" spans="1:11" x14ac:dyDescent="0.2">
      <c r="A52" s="49"/>
      <c r="B52" s="101">
        <v>24</v>
      </c>
      <c r="C52" s="138">
        <f t="shared" ca="1" si="0"/>
        <v>46473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63">
        <f t="shared" si="3"/>
        <v>0</v>
      </c>
      <c r="H52" s="163"/>
      <c r="I52" s="3"/>
    </row>
    <row r="53" spans="1:11" x14ac:dyDescent="0.2">
      <c r="A53" s="49"/>
      <c r="B53" s="101">
        <v>25</v>
      </c>
      <c r="C53" s="138">
        <f t="shared" ca="1" si="0"/>
        <v>46504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3">
        <f t="shared" si="3"/>
        <v>0</v>
      </c>
      <c r="H53" s="163"/>
      <c r="I53" s="3"/>
    </row>
    <row r="54" spans="1:11" x14ac:dyDescent="0.2">
      <c r="A54" s="49"/>
      <c r="B54" s="101">
        <v>26</v>
      </c>
      <c r="C54" s="138">
        <f t="shared" ca="1" si="0"/>
        <v>46534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3">
        <f t="shared" si="3"/>
        <v>0</v>
      </c>
      <c r="H54" s="163"/>
      <c r="I54" s="3"/>
    </row>
    <row r="55" spans="1:11" x14ac:dyDescent="0.2">
      <c r="A55" s="49"/>
      <c r="B55" s="101">
        <v>27</v>
      </c>
      <c r="C55" s="138">
        <f t="shared" ca="1" si="0"/>
        <v>46565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3">
        <f t="shared" si="3"/>
        <v>0</v>
      </c>
      <c r="H55" s="163"/>
      <c r="I55" s="3"/>
    </row>
    <row r="56" spans="1:11" x14ac:dyDescent="0.2">
      <c r="A56" s="49"/>
      <c r="B56" s="101">
        <v>28</v>
      </c>
      <c r="C56" s="138">
        <f t="shared" ca="1" si="0"/>
        <v>46595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3">
        <f t="shared" si="3"/>
        <v>0</v>
      </c>
      <c r="H56" s="163"/>
      <c r="I56" s="3"/>
    </row>
    <row r="57" spans="1:11" x14ac:dyDescent="0.2">
      <c r="A57" s="49"/>
      <c r="B57" s="101">
        <v>29</v>
      </c>
      <c r="C57" s="138">
        <f t="shared" ca="1" si="0"/>
        <v>46626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3">
        <f t="shared" si="3"/>
        <v>0</v>
      </c>
      <c r="H57" s="163"/>
      <c r="I57" s="3"/>
    </row>
    <row r="58" spans="1:11" x14ac:dyDescent="0.2">
      <c r="A58" s="49">
        <v>25</v>
      </c>
      <c r="B58" s="101">
        <v>30</v>
      </c>
      <c r="C58" s="138">
        <f t="shared" ca="1" si="0"/>
        <v>46657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3">
        <f t="shared" si="3"/>
        <v>0</v>
      </c>
      <c r="H58" s="163"/>
      <c r="I58" s="106"/>
      <c r="J58" s="106"/>
    </row>
    <row r="59" spans="1:11" x14ac:dyDescent="0.2">
      <c r="A59" s="49"/>
      <c r="B59" s="101">
        <v>31</v>
      </c>
      <c r="C59" s="138">
        <f t="shared" ca="1" si="0"/>
        <v>46687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3">
        <f t="shared" si="3"/>
        <v>0</v>
      </c>
      <c r="H59" s="163"/>
      <c r="I59" s="106"/>
      <c r="J59" s="106"/>
    </row>
    <row r="60" spans="1:11" x14ac:dyDescent="0.2">
      <c r="A60" s="49"/>
      <c r="B60" s="101">
        <v>32</v>
      </c>
      <c r="C60" s="138">
        <f t="shared" ca="1" si="0"/>
        <v>46718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3">
        <f t="shared" si="3"/>
        <v>0</v>
      </c>
      <c r="H60" s="163"/>
      <c r="I60" s="106"/>
      <c r="J60" s="106"/>
    </row>
    <row r="61" spans="1:11" x14ac:dyDescent="0.2">
      <c r="A61" s="49"/>
      <c r="B61" s="101">
        <v>33</v>
      </c>
      <c r="C61" s="138">
        <f t="shared" ca="1" si="0"/>
        <v>46748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3">
        <f t="shared" si="3"/>
        <v>0</v>
      </c>
      <c r="H61" s="163"/>
      <c r="I61" s="106"/>
      <c r="J61" s="106"/>
    </row>
    <row r="62" spans="1:11" x14ac:dyDescent="0.2">
      <c r="A62" s="49"/>
      <c r="B62" s="101">
        <v>34</v>
      </c>
      <c r="C62" s="138">
        <f t="shared" ca="1" si="0"/>
        <v>46779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3">
        <f t="shared" si="3"/>
        <v>0</v>
      </c>
      <c r="H62" s="163"/>
      <c r="I62" s="106"/>
      <c r="J62" s="106"/>
    </row>
    <row r="63" spans="1:11" x14ac:dyDescent="0.2">
      <c r="A63" s="49"/>
      <c r="B63" s="101">
        <v>35</v>
      </c>
      <c r="C63" s="138">
        <f t="shared" ca="1" si="0"/>
        <v>46810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3">
        <f t="shared" si="3"/>
        <v>0</v>
      </c>
      <c r="H63" s="163"/>
      <c r="I63" s="106"/>
      <c r="J63" s="106"/>
    </row>
    <row r="64" spans="1:11" x14ac:dyDescent="0.2">
      <c r="A64" s="49"/>
      <c r="B64" s="101">
        <v>36</v>
      </c>
      <c r="C64" s="138">
        <f t="shared" ca="1" si="0"/>
        <v>46839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3">
        <f t="shared" si="3"/>
        <v>0</v>
      </c>
      <c r="H64" s="163"/>
      <c r="I64" s="106"/>
      <c r="J64" s="106"/>
    </row>
    <row r="65" spans="1:10" x14ac:dyDescent="0.2">
      <c r="A65" s="49"/>
      <c r="B65" s="101">
        <v>37</v>
      </c>
      <c r="C65" s="104">
        <f t="shared" ca="1" si="0"/>
        <v>46870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3">
        <f t="shared" si="3"/>
        <v>0</v>
      </c>
      <c r="H65" s="163"/>
      <c r="I65" s="106"/>
      <c r="J65" s="106"/>
    </row>
    <row r="66" spans="1:10" x14ac:dyDescent="0.2">
      <c r="A66" s="49"/>
      <c r="B66" s="101">
        <v>38</v>
      </c>
      <c r="C66" s="104">
        <f t="shared" ca="1" si="0"/>
        <v>46900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3">
        <f t="shared" si="3"/>
        <v>0</v>
      </c>
      <c r="H66" s="163"/>
      <c r="I66" s="106"/>
      <c r="J66" s="106"/>
    </row>
    <row r="67" spans="1:10" x14ac:dyDescent="0.2">
      <c r="A67" s="49"/>
      <c r="B67" s="101">
        <v>39</v>
      </c>
      <c r="C67" s="104">
        <f t="shared" ca="1" si="0"/>
        <v>46931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3">
        <f t="shared" si="3"/>
        <v>0</v>
      </c>
      <c r="H67" s="163"/>
      <c r="I67" s="106"/>
      <c r="J67" s="106"/>
    </row>
    <row r="68" spans="1:10" x14ac:dyDescent="0.2">
      <c r="A68" s="49"/>
      <c r="B68" s="101">
        <v>40</v>
      </c>
      <c r="C68" s="104">
        <f t="shared" ca="1" si="0"/>
        <v>46961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3">
        <f t="shared" si="3"/>
        <v>0</v>
      </c>
      <c r="H68" s="163"/>
      <c r="I68" s="106"/>
      <c r="J68" s="106"/>
    </row>
    <row r="69" spans="1:10" x14ac:dyDescent="0.2">
      <c r="A69" s="49"/>
      <c r="B69" s="101">
        <v>41</v>
      </c>
      <c r="C69" s="104">
        <f t="shared" ca="1" si="0"/>
        <v>46992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3">
        <f t="shared" si="3"/>
        <v>0</v>
      </c>
      <c r="H69" s="163"/>
      <c r="I69" s="106"/>
      <c r="J69" s="106"/>
    </row>
    <row r="70" spans="1:10" x14ac:dyDescent="0.2">
      <c r="A70" s="49"/>
      <c r="B70" s="101">
        <v>42</v>
      </c>
      <c r="C70" s="104">
        <f t="shared" ca="1" si="0"/>
        <v>47023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3">
        <f t="shared" si="3"/>
        <v>0</v>
      </c>
      <c r="H70" s="163"/>
      <c r="I70" s="106"/>
      <c r="J70" s="106"/>
    </row>
    <row r="71" spans="1:10" x14ac:dyDescent="0.2">
      <c r="A71" s="49"/>
      <c r="B71" s="101">
        <v>43</v>
      </c>
      <c r="C71" s="104">
        <f t="shared" ca="1" si="0"/>
        <v>47053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3">
        <f t="shared" si="3"/>
        <v>0</v>
      </c>
      <c r="H71" s="163"/>
      <c r="I71" s="106"/>
      <c r="J71" s="106"/>
    </row>
    <row r="72" spans="1:10" x14ac:dyDescent="0.2">
      <c r="A72" s="49"/>
      <c r="B72" s="101">
        <v>44</v>
      </c>
      <c r="C72" s="104">
        <f t="shared" ca="1" si="0"/>
        <v>47084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3">
        <f t="shared" si="3"/>
        <v>0</v>
      </c>
      <c r="H72" s="163"/>
      <c r="I72" s="106"/>
      <c r="J72" s="106"/>
    </row>
    <row r="73" spans="1:10" x14ac:dyDescent="0.2">
      <c r="A73" s="49"/>
      <c r="B73" s="101">
        <v>45</v>
      </c>
      <c r="C73" s="104">
        <f t="shared" ca="1" si="0"/>
        <v>47114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3">
        <f t="shared" si="3"/>
        <v>0</v>
      </c>
      <c r="H73" s="163"/>
      <c r="I73" s="106"/>
      <c r="J73" s="106"/>
    </row>
    <row r="74" spans="1:10" x14ac:dyDescent="0.2">
      <c r="A74" s="49"/>
      <c r="B74" s="101">
        <v>46</v>
      </c>
      <c r="C74" s="104">
        <f t="shared" ca="1" si="0"/>
        <v>47145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3">
        <f t="shared" si="3"/>
        <v>0</v>
      </c>
      <c r="H74" s="163"/>
      <c r="I74" s="106"/>
      <c r="J74" s="106"/>
    </row>
    <row r="75" spans="1:10" x14ac:dyDescent="0.2">
      <c r="A75" s="49"/>
      <c r="B75" s="101">
        <v>47</v>
      </c>
      <c r="C75" s="104">
        <f t="shared" ca="1" si="0"/>
        <v>47176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3">
        <f t="shared" si="3"/>
        <v>0</v>
      </c>
      <c r="H75" s="163"/>
      <c r="I75" s="106"/>
      <c r="J75" s="106"/>
    </row>
    <row r="76" spans="1:10" x14ac:dyDescent="0.2">
      <c r="A76" s="49"/>
      <c r="B76" s="101">
        <v>48</v>
      </c>
      <c r="C76" s="104">
        <f t="shared" ca="1" si="0"/>
        <v>47204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3">
        <f t="shared" si="3"/>
        <v>0</v>
      </c>
      <c r="H76" s="163"/>
      <c r="I76" s="106"/>
      <c r="J76" s="106"/>
    </row>
    <row r="77" spans="1:10" x14ac:dyDescent="0.2">
      <c r="A77" s="49"/>
      <c r="B77" s="101">
        <v>49</v>
      </c>
      <c r="C77" s="104">
        <f t="shared" ca="1" si="0"/>
        <v>47235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3">
        <f t="shared" si="3"/>
        <v>0</v>
      </c>
      <c r="H77" s="163"/>
      <c r="I77" s="106"/>
      <c r="J77" s="106"/>
    </row>
    <row r="78" spans="1:10" x14ac:dyDescent="0.2">
      <c r="A78" s="49"/>
      <c r="B78" s="101">
        <v>50</v>
      </c>
      <c r="C78" s="104">
        <f t="shared" ca="1" si="0"/>
        <v>47265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3">
        <f t="shared" si="3"/>
        <v>0</v>
      </c>
      <c r="H78" s="163"/>
      <c r="I78" s="106"/>
      <c r="J78" s="106"/>
    </row>
    <row r="79" spans="1:10" x14ac:dyDescent="0.2">
      <c r="A79" s="49"/>
      <c r="B79" s="101">
        <v>51</v>
      </c>
      <c r="C79" s="104">
        <f t="shared" ca="1" si="0"/>
        <v>47296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3">
        <f t="shared" si="3"/>
        <v>0</v>
      </c>
      <c r="H79" s="163"/>
      <c r="I79" s="106"/>
      <c r="J79" s="106"/>
    </row>
    <row r="80" spans="1:10" x14ac:dyDescent="0.2">
      <c r="A80" s="49"/>
      <c r="B80" s="101">
        <v>52</v>
      </c>
      <c r="C80" s="104">
        <f t="shared" ca="1" si="0"/>
        <v>47326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3">
        <f t="shared" si="3"/>
        <v>0</v>
      </c>
      <c r="H80" s="163"/>
      <c r="I80" s="106"/>
      <c r="J80" s="106"/>
    </row>
    <row r="81" spans="1:10" x14ac:dyDescent="0.2">
      <c r="A81" s="49"/>
      <c r="B81" s="101">
        <v>53</v>
      </c>
      <c r="C81" s="104">
        <f t="shared" ca="1" si="0"/>
        <v>47357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3">
        <f t="shared" si="3"/>
        <v>0</v>
      </c>
      <c r="H81" s="163"/>
      <c r="I81" s="106"/>
      <c r="J81" s="106"/>
    </row>
    <row r="82" spans="1:10" x14ac:dyDescent="0.2">
      <c r="A82" s="49"/>
      <c r="B82" s="101">
        <v>54</v>
      </c>
      <c r="C82" s="104">
        <f t="shared" ca="1" si="0"/>
        <v>47388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3">
        <f t="shared" si="3"/>
        <v>0</v>
      </c>
      <c r="H82" s="163"/>
      <c r="I82" s="106"/>
      <c r="J82" s="106"/>
    </row>
    <row r="83" spans="1:10" x14ac:dyDescent="0.2">
      <c r="A83" s="49"/>
      <c r="B83" s="101">
        <v>55</v>
      </c>
      <c r="C83" s="104">
        <f t="shared" ca="1" si="0"/>
        <v>47418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3">
        <f t="shared" si="3"/>
        <v>0</v>
      </c>
      <c r="H83" s="163"/>
      <c r="I83" s="106"/>
      <c r="J83" s="106"/>
    </row>
    <row r="84" spans="1:10" x14ac:dyDescent="0.2">
      <c r="A84" s="49"/>
      <c r="B84" s="101">
        <v>56</v>
      </c>
      <c r="C84" s="104">
        <f t="shared" ca="1" si="0"/>
        <v>47449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3">
        <f t="shared" si="3"/>
        <v>0</v>
      </c>
      <c r="H84" s="163"/>
      <c r="I84" s="106"/>
      <c r="J84" s="106"/>
    </row>
    <row r="85" spans="1:10" x14ac:dyDescent="0.2">
      <c r="A85" s="49"/>
      <c r="B85" s="101">
        <v>57</v>
      </c>
      <c r="C85" s="104">
        <f t="shared" ca="1" si="0"/>
        <v>47479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3">
        <f t="shared" si="3"/>
        <v>0</v>
      </c>
      <c r="H85" s="163"/>
      <c r="I85" s="106"/>
      <c r="J85" s="106"/>
    </row>
    <row r="86" spans="1:10" x14ac:dyDescent="0.2">
      <c r="A86" s="49"/>
      <c r="B86" s="101">
        <v>58</v>
      </c>
      <c r="C86" s="104">
        <f t="shared" ca="1" si="0"/>
        <v>47510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3">
        <f t="shared" si="3"/>
        <v>0</v>
      </c>
      <c r="H86" s="163"/>
      <c r="I86" s="106"/>
      <c r="J86" s="106"/>
    </row>
    <row r="87" spans="1:10" x14ac:dyDescent="0.2">
      <c r="A87" s="49"/>
      <c r="B87" s="101">
        <v>59</v>
      </c>
      <c r="C87" s="104">
        <f t="shared" ca="1" si="0"/>
        <v>47541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3">
        <f t="shared" si="3"/>
        <v>0</v>
      </c>
      <c r="H87" s="163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47569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6">
        <f t="shared" si="3"/>
        <v>0</v>
      </c>
      <c r="H88" s="176"/>
      <c r="I88" s="106"/>
      <c r="J88" s="106"/>
    </row>
    <row r="89" spans="1:10" ht="16.5" thickBot="1" x14ac:dyDescent="0.25">
      <c r="A89" s="49"/>
      <c r="B89" s="171" t="s">
        <v>1</v>
      </c>
      <c r="C89" s="172"/>
      <c r="D89" s="133">
        <f>SUM(D29:D88)</f>
        <v>7100</v>
      </c>
      <c r="E89" s="133">
        <f>SUM(E29:E88)</f>
        <v>0</v>
      </c>
      <c r="F89" s="133">
        <f>SUM(F29:F88)</f>
        <v>3866.2880808453169</v>
      </c>
      <c r="G89" s="173">
        <f>SUM(G29:H88)</f>
        <v>10966.288080845314</v>
      </c>
      <c r="H89" s="17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5" t="s">
        <v>3</v>
      </c>
      <c r="F91" s="175"/>
      <c r="G91" s="17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1q3bvQGx982LHhR9Ha2mrlxb0Baiu4RIX2mVkTWH9pRjgtAuUf8EIsabfIAt921Hi+JY2fae/XDgGHCy2BTCug==" saltValue="NaWo+rSSL1pWIKvA5+o5Eg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$K$18:$K$19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5"/>
  <sheetViews>
    <sheetView zoomScale="85" zoomScaleNormal="85" workbookViewId="0">
      <selection activeCell="O20" sqref="O20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45</v>
      </c>
      <c r="B4" s="117">
        <v>9900</v>
      </c>
      <c r="C4" s="117">
        <v>12</v>
      </c>
      <c r="D4" s="118">
        <v>0.89</v>
      </c>
      <c r="E4" s="141">
        <v>100</v>
      </c>
      <c r="F4" s="118">
        <v>0</v>
      </c>
      <c r="G4" s="117" t="str">
        <f>I$2&amp;" "&amp;H4&amp;" "&amp;H$2</f>
        <v>max. 10000 грн.</v>
      </c>
      <c r="H4" s="142">
        <f t="shared" ref="H4" si="0">B4+E4</f>
        <v>10000</v>
      </c>
      <c r="I4" s="117"/>
      <c r="J4" s="117">
        <v>7</v>
      </c>
      <c r="K4" s="119">
        <f t="shared" ref="K4" si="1">D4/12/(1-1/POWER(1+D4/12,C4))*H4+H4*F4</f>
        <v>1287.1230141837223</v>
      </c>
      <c r="L4" s="120">
        <v>0</v>
      </c>
      <c r="M4" s="121">
        <v>0</v>
      </c>
      <c r="N4" s="117">
        <v>1900</v>
      </c>
    </row>
    <row r="5" spans="1:14" x14ac:dyDescent="0.2">
      <c r="A5" s="117" t="s">
        <v>47</v>
      </c>
      <c r="B5" s="117">
        <v>9900</v>
      </c>
      <c r="C5" s="117">
        <v>12</v>
      </c>
      <c r="D5" s="118">
        <v>0.89</v>
      </c>
      <c r="E5" s="141">
        <v>100</v>
      </c>
      <c r="F5" s="118">
        <v>0</v>
      </c>
      <c r="G5" s="117" t="str">
        <f>I$2&amp;" "&amp;H5&amp;" "&amp;H$2</f>
        <v>max. 10000 грн.</v>
      </c>
      <c r="H5" s="142">
        <f t="shared" ref="H5" si="2">B5+E5</f>
        <v>10000</v>
      </c>
      <c r="I5" s="117"/>
      <c r="J5" s="117">
        <v>7</v>
      </c>
      <c r="K5" s="119">
        <f t="shared" ref="K5" si="3">D5/12/(1-1/POWER(1+D5/12,C5))*H5+H5*F5</f>
        <v>1287.1230141837223</v>
      </c>
      <c r="L5" s="120">
        <v>0</v>
      </c>
      <c r="M5" s="121">
        <v>0</v>
      </c>
      <c r="N5" s="117">
        <v>6900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Normal="100" workbookViewId="0">
      <selection activeCell="A9" sqref="A9:D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2" t="s">
        <v>13</v>
      </c>
      <c r="B1" s="193"/>
      <c r="C1" s="193"/>
      <c r="D1" s="19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7" t="s">
        <v>29</v>
      </c>
      <c r="B3" s="188"/>
      <c r="C3" s="188"/>
      <c r="D3" s="18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7" t="s">
        <v>44</v>
      </c>
      <c r="B5" s="188"/>
      <c r="C5" s="188"/>
      <c r="D5" s="18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7" t="s">
        <v>30</v>
      </c>
      <c r="B7" s="188"/>
      <c r="C7" s="188"/>
      <c r="D7" s="18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7" t="s">
        <v>42</v>
      </c>
      <c r="B9" s="188"/>
      <c r="C9" s="188"/>
      <c r="D9" s="18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7" t="s">
        <v>41</v>
      </c>
      <c r="B12" s="188"/>
      <c r="C12" s="188"/>
      <c r="D12" s="18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7" t="s">
        <v>37</v>
      </c>
      <c r="B14" s="188"/>
      <c r="C14" s="188"/>
      <c r="D14" s="18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7" t="s">
        <v>40</v>
      </c>
      <c r="B16" s="188"/>
      <c r="C16" s="188"/>
      <c r="D16" s="18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90" t="s">
        <v>5</v>
      </c>
      <c r="B20" s="19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7" t="s">
        <v>16</v>
      </c>
      <c r="B21" s="178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7" t="s">
        <v>6</v>
      </c>
      <c r="B22" s="178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7" t="s">
        <v>14</v>
      </c>
      <c r="B23" s="178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7" t="s">
        <v>15</v>
      </c>
      <c r="B24" s="178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0" t="s">
        <v>35</v>
      </c>
      <c r="B27" s="181"/>
      <c r="C27" s="181"/>
      <c r="D27" s="181"/>
      <c r="E27" s="181"/>
      <c r="F27" s="181"/>
      <c r="G27" s="182"/>
    </row>
    <row r="28" spans="1:8" ht="45.75" thickBot="1" x14ac:dyDescent="0.25">
      <c r="A28" s="183" t="s">
        <v>2</v>
      </c>
      <c r="B28" s="184"/>
      <c r="C28" s="84" t="s">
        <v>33</v>
      </c>
      <c r="D28" s="84" t="s">
        <v>31</v>
      </c>
      <c r="E28" s="84" t="s">
        <v>32</v>
      </c>
      <c r="F28" s="185" t="s">
        <v>34</v>
      </c>
      <c r="G28" s="186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9"/>
      <c r="E30" s="179"/>
      <c r="F30" s="179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 Junior</vt:lpstr>
      <vt:lpstr>Лист2</vt:lpstr>
      <vt:lpstr>Назви</vt:lpstr>
      <vt:lpstr>'Мобільний Junior'!Область_друку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2025-03-27T07:48:15Z</dcterms:modified>
</cp:coreProperties>
</file>