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Mieierzon\Desktop\NST\Калькулятори\"/>
    </mc:Choice>
  </mc:AlternateContent>
  <xr:revisionPtr revIDLastSave="0" documentId="13_ncr:1_{B03CEFC2-ADE0-468B-9DBF-178A32176C7D}" xr6:coauthVersionLast="47" xr6:coauthVersionMax="47" xr10:uidLastSave="{00000000-0000-0000-0000-000000000000}"/>
  <workbookProtection workbookAlgorithmName="SHA-512" workbookHashValue="fYs/8wkEsuE2LDuHWZwqVRXsziSauPg4sYFbBij0wZhUbB5YBiRt3Hi/PcLp8XP9qRMNtvc66a2SJo3Hy8sCVw==" workbookSaltValue="6QpMftZ6EPQP9fmqXYHvfw==" workbookSpinCount="100000" lockStructure="1"/>
  <bookViews>
    <workbookView xWindow="-108" yWindow="-108" windowWidth="23256" windowHeight="12720" tabRatio="863" xr2:uid="{00000000-000D-0000-FFFF-FFFF00000000}"/>
  </bookViews>
  <sheets>
    <sheet name="NST Ідея_0-15-36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 Ідея_0-15-36'!$A$1:$I$103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F2" i="164" l="1"/>
  <c r="H4" i="165"/>
  <c r="E2" i="164"/>
  <c r="G2" i="164"/>
  <c r="G3" i="164"/>
  <c r="G39" i="164" l="1"/>
  <c r="L8" i="164" l="1"/>
  <c r="L9" i="164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1" i="164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0" i="161"/>
  <c r="F22" i="161" l="1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F62" i="164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F73" i="164"/>
  <c r="F67" i="164"/>
  <c r="E78" i="164"/>
  <c r="F92" i="164"/>
  <c r="F52" i="164"/>
  <c r="F60" i="164"/>
  <c r="E97" i="164"/>
  <c r="F99" i="164"/>
  <c r="F69" i="164"/>
  <c r="F50" i="164"/>
  <c r="E94" i="164"/>
  <c r="F83" i="164"/>
  <c r="F76" i="164"/>
  <c r="E80" i="164"/>
  <c r="F48" i="164"/>
  <c r="F53" i="164"/>
  <c r="F51" i="164"/>
  <c r="F61" i="164"/>
  <c r="E85" i="164"/>
  <c r="F75" i="164"/>
  <c r="F91" i="164"/>
  <c r="F68" i="164"/>
  <c r="F84" i="164"/>
  <c r="F94" i="164"/>
  <c r="F96" i="164"/>
  <c r="F46" i="164"/>
  <c r="F23" i="161"/>
  <c r="G21" i="161"/>
  <c r="F97" i="164"/>
  <c r="F58" i="164"/>
  <c r="F45" i="164"/>
  <c r="F42" i="164"/>
  <c r="F43" i="164"/>
  <c r="F44" i="164"/>
  <c r="F40" i="164"/>
  <c r="E90" i="164"/>
  <c r="E98" i="164"/>
  <c r="E91" i="164"/>
  <c r="E81" i="164"/>
  <c r="E99" i="164"/>
  <c r="F71" i="164"/>
  <c r="F79" i="164"/>
  <c r="F87" i="164"/>
  <c r="F95" i="164"/>
  <c r="F64" i="164"/>
  <c r="F72" i="164"/>
  <c r="F80" i="164"/>
  <c r="F88" i="164"/>
  <c r="E96" i="164"/>
  <c r="E79" i="164"/>
  <c r="F85" i="164"/>
  <c r="F78" i="164"/>
  <c r="F47" i="164"/>
  <c r="F49" i="164"/>
  <c r="F59" i="164"/>
  <c r="F70" i="164"/>
  <c r="E83" i="164"/>
  <c r="F90" i="164"/>
  <c r="F77" i="164"/>
  <c r="E88" i="164"/>
  <c r="E95" i="164"/>
  <c r="F82" i="164"/>
  <c r="F89" i="164"/>
  <c r="F65" i="164"/>
  <c r="E76" i="164"/>
  <c r="F56" i="164"/>
  <c r="F55" i="164"/>
  <c r="F54" i="164"/>
  <c r="F57" i="164"/>
  <c r="F41" i="164"/>
  <c r="F63" i="164"/>
  <c r="F98" i="164"/>
  <c r="F86" i="164"/>
  <c r="F74" i="164"/>
  <c r="F66" i="164"/>
  <c r="F93" i="164"/>
  <c r="F81" i="164"/>
  <c r="E93" i="164"/>
  <c r="E89" i="164"/>
  <c r="E92" i="164"/>
  <c r="E84" i="164"/>
  <c r="E75" i="164" l="1"/>
  <c r="E64" i="164"/>
  <c r="E66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/>
  <c r="G75" i="164" l="1"/>
  <c r="G64" i="164"/>
  <c r="G66" i="164"/>
  <c r="G59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<sst xmlns="http://schemas.openxmlformats.org/spreadsheetml/2006/main" count="169" uniqueCount="161">
  <si>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</si>
  <si>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</si>
  <si>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</si>
  <si>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</si>
  <si>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</si>
  <si>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</si>
  <si>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</si>
  <si>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</si>
  <si>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</si>
  <si>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</si>
  <si>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</si>
  <si>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</si>
  <si>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</si>
  <si>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</si>
  <si>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</si>
  <si>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</si>
  <si>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</si>
  <si>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</si>
  <si>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</si>
  <si>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</si>
  <si>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</si>
  <si>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</si>
  <si>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</si>
  <si>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</si>
  <si>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</si>
  <si>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</si>
  <si>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</si>
  <si>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</si>
  <si>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</si>
  <si>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</si>
  <si>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</si>
  <si>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</si>
  <si>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</si>
  <si>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</si>
  <si>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</si>
  <si>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</si>
  <si>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</si>
  <si>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</si>
  <si>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</si>
  <si>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</si>
  <si>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</si>
  <si>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</si>
  <si>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</si>
  <si>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</si>
  <si>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</si>
  <si>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</si>
  <si>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</si>
  <si>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</si>
  <si>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</si>
  <si>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</si>
  <si>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</si>
  <si>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</si>
  <si>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</si>
  <si>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</si>
  <si>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</si>
  <si>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</si>
  <si>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</si>
  <si>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</si>
  <si>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</si>
  <si>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</si>
  <si>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</si>
  <si>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</si>
  <si>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</si>
  <si>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</si>
  <si>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</si>
  <si>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</si>
  <si>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</si>
  <si>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</si>
  <si>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</si>
  <si>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</si>
  <si>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</si>
  <si>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</si>
  <si>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</si>
  <si>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</si>
  <si>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</si>
  <si>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</si>
  <si>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</si>
  <si>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</si>
  <si>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</si>
  <si>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</si>
  <si>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</si>
  <si>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</si>
  <si>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</si>
  <si>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</si>
  <si>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</si>
  <si>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</si>
  <si>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</si>
  <si>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</si>
  <si>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</si>
  <si>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</si>
  <si>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</si>
  <si>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</si>
  <si>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</si>
  <si>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</si>
  <si>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</si>
  <si>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</si>
  <si>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</si>
  <si>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</si>
  <si>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</si>
  <si>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</si>
  <si>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</si>
  <si>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</si>
  <si>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</si>
  <si>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</si>
  <si>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</si>
  <si>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</si>
  <si>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</si>
  <si>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</si>
  <si>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</si>
  <si>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</si>
  <si>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</si>
  <si>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</si>
  <si>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</si>
  <si>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</si>
  <si>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</si>
  <si>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</si>
  <si>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</si>
  <si>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</si>
  <si>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</si>
  <si>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</si>
  <si>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</si>
  <si>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</si>
  <si>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</si>
  <si>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</si>
  <si>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</si>
  <si>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</si>
  <si>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</si>
  <si>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</si>
  <si>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</si>
  <si>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</si>
  <si>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</si>
  <si>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</si>
  <si>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</si>
  <si>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</si>
  <si>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</si>
  <si>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</si>
  <si>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</si>
  <si>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</si>
  <si>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</si>
  <si>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</si>
  <si>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</si>
  <si>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</si>
  <si>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</si>
  <si>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</si>
  <si>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</si>
  <si>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</si>
  <si>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</si>
  <si>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</si>
  <si>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</si>
  <si>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</si>
  <si>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</si>
  <si>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</si>
  <si>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</si>
  <si>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</si>
  <si>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</si>
  <si>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</si>
  <si>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</si>
  <si>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</si>
  <si>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</si>
  <si>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</si>
  <si>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Ідея_0-15-36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</si>
</sst>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67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ideabank.com.ua/" TargetMode="External"/><Relationship Id="rId2" Type="http://schemas.openxmlformats.org/officeDocument/2006/relationships/image" Target="../media/image1.jpeg"/><Relationship Id="rId1" Type="http://schemas.openxmlformats.org/officeDocument/2006/relationships/hyperlink" Target="#&#1043;&#1086;&#1083;&#1086;&#1074;&#1085;&#1072;!A1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944880</xdr:colOff>
      <xdr:row>3</xdr:row>
      <xdr:rowOff>28575</xdr:rowOff>
    </xdr:to>
    <xdr:pic>
      <xdr:nvPicPr>
        <xdr:cNvPr id="4097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1450" y="190500"/>
          <a:ext cx="20574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1</xdr:row>
      <xdr:rowOff>9525</xdr:rowOff>
    </xdr:from>
    <xdr:to>
      <xdr:col>4</xdr:col>
      <xdr:colOff>1905</xdr:colOff>
      <xdr:row>3</xdr:row>
      <xdr:rowOff>47625</xdr:rowOff>
    </xdr:to>
    <xdr:pic>
      <xdr:nvPicPr>
        <xdr:cNvPr id="4098" name="Picture 1" descr="IdeaBank">
          <a:hlinkClick xmlns:r="http://schemas.openxmlformats.org/officeDocument/2006/relationships" r:id="rId3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42875" y="180975"/>
          <a:ext cx="21526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rgb="FFFF0000"/>
  </sheetPr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09375" defaultRowHeight="13.2" outlineLevelRow="1" outlineLevelCol="1" x14ac:dyDescent="0.25"/>
  <cols>
    <col min="1" max="1" width="2.44140625" style="7" customWidth="1"/>
    <col min="2" max="2" width="7.109375" style="4" customWidth="1"/>
    <col min="3" max="3" width="10.109375" style="4" bestFit="1" customWidth="1"/>
    <col min="4" max="4" width="15" style="4" bestFit="1" customWidth="1"/>
    <col min="5" max="5" width="31" style="4" customWidth="1"/>
    <col min="6" max="6" width="15.6640625" style="4" customWidth="1"/>
    <col min="7" max="7" width="11.109375" style="34" customWidth="1"/>
    <col min="8" max="8" width="10.109375" style="28" customWidth="1"/>
    <col min="9" max="9" width="14.6640625" customWidth="1"/>
    <col min="10" max="10" width="17.33203125" style="3" customWidth="1"/>
    <col min="11" max="11" width="12.5546875" style="4" hidden="1" customWidth="1" outlineLevel="1"/>
    <col min="12" max="12" width="9.44140625" style="4" hidden="1" customWidth="1" outlineLevel="1"/>
    <col min="13" max="13" width="16.44140625" style="4" hidden="1" customWidth="1" outlineLevel="1"/>
    <col min="14" max="16" width="14.88671875" style="4" hidden="1" customWidth="1" outlineLevel="1"/>
    <col min="17" max="25" width="13.5546875" style="4" hidden="1" customWidth="1" outlineLevel="1"/>
    <col min="26" max="26" width="7.44140625" style="4" hidden="1" customWidth="1" outlineLevel="1"/>
    <col min="27" max="27" width="9.109375" style="4" hidden="1" customWidth="1" outlineLevel="1"/>
    <col min="28" max="28" width="5.6640625" style="4" hidden="1" customWidth="1" outlineLevel="1"/>
    <col min="29" max="29" width="9.109375" style="97" collapsed="1"/>
    <col min="30" max="45" width="9.109375" style="97"/>
    <col min="46" max="16384" width="9.109375" style="4"/>
  </cols>
  <sheetData>
    <row r="1" spans="1:45" ht="13.8" thickBot="1" x14ac:dyDescent="0.3">
      <c r="A1" s="43"/>
      <c r="B1" s="88"/>
      <c r="C1" s="88"/>
      <c r="D1" s="88"/>
      <c r="E1" s="88"/>
      <c r="F1" s="88"/>
      <c r="G1" s="89"/>
      <c r="H1" s="186" t="s">
        <v>48</v>
      </c>
      <c r="I1" s="186"/>
    </row>
    <row r="2" spans="1:45" ht="12.75" customHeight="1" x14ac:dyDescent="0.25">
      <c r="A2" s="2"/>
      <c r="B2" s="88"/>
      <c r="C2" s="88"/>
      <c r="D2" s="88"/>
      <c r="E2" s="109">
        <f>VLOOKUP('NST Ідея_0-15-36'!H2,Лист2!A:P,16,FALSE)</f>
        <v>892.85699999999997</v>
      </c>
      <c r="F2" s="132">
        <f>VLOOKUP(H$2,Лист2!$A:$H,8,0)</f>
        <v>99999.995200000005</v>
      </c>
      <c r="G2" s="177">
        <f ca="1">TODAY()</f>
        <v>45716</v>
      </c>
      <c r="H2" s="193" t="s">
        <v>160</v>
      </c>
      <c r="I2" s="194"/>
      <c r="J2" s="35"/>
    </row>
    <row r="3" spans="1:45" ht="13.65" customHeight="1" thickBot="1" x14ac:dyDescent="0.3">
      <c r="A3" s="2"/>
      <c r="B3" s="88"/>
      <c r="C3" s="88"/>
      <c r="D3" s="88"/>
      <c r="E3" s="110">
        <f>IF(F7&lt;E2,"x",IF(F7&gt;F2,"y",F7))</f>
        <v>99999.995200000005</v>
      </c>
      <c r="F3" s="195" t="str">
        <f>IF(E3="x","Збільшіть суму",IF(E3="y","Зменшіть суму",""))</f>
        <v/>
      </c>
      <c r="G3" s="133">
        <f>Назви!B32</f>
        <v>30.4</v>
      </c>
      <c r="H3" s="197">
        <v>50000</v>
      </c>
      <c r="I3" s="198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3">
      <c r="A4" s="2"/>
      <c r="B4" s="42"/>
      <c r="C4" s="42"/>
      <c r="D4" s="42"/>
      <c r="E4" s="119"/>
      <c r="F4" s="196"/>
      <c r="G4" s="112"/>
      <c r="H4" s="162"/>
      <c r="I4" s="120"/>
      <c r="J4" s="35"/>
      <c r="AA4" s="51"/>
    </row>
    <row r="5" spans="1:45" ht="21.6" thickBot="1" x14ac:dyDescent="0.3">
      <c r="A5" s="1"/>
      <c r="B5" s="199" t="s">
        <v>42</v>
      </c>
      <c r="C5" s="200"/>
      <c r="D5" s="200"/>
      <c r="E5" s="201"/>
      <c r="F5" s="161">
        <v>89285.71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" customHeight="1" x14ac:dyDescent="0.25">
      <c r="A6" s="188"/>
      <c r="B6" s="188"/>
      <c r="C6" s="188"/>
      <c r="D6" s="188"/>
      <c r="E6" s="188"/>
      <c r="F6" s="188"/>
      <c r="G6" s="188"/>
      <c r="H6" s="188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5">
      <c r="A7" s="1"/>
      <c r="B7" s="190" t="s">
        <v>43</v>
      </c>
      <c r="C7" s="191"/>
      <c r="D7" s="191"/>
      <c r="E7" s="192"/>
      <c r="F7" s="163">
        <f>F5+F5*F11+F15+F5*F17</f>
        <v>99999.995200000005</v>
      </c>
      <c r="G7" s="164"/>
      <c r="H7" s="165"/>
      <c r="I7" s="42"/>
      <c r="J7" s="4"/>
      <c r="K7" s="37"/>
      <c r="L7" s="51" t="str">
        <f>Лист2!A4</f>
        <v>NST Ідея_0-15-36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5">
      <c r="A8" s="187"/>
      <c r="B8" s="187"/>
      <c r="C8" s="187"/>
      <c r="D8" s="187"/>
      <c r="E8" s="187"/>
      <c r="F8" s="188"/>
      <c r="G8" s="187"/>
      <c r="H8" s="187"/>
      <c r="I8" s="187"/>
      <c r="J8" s="4"/>
      <c r="K8" s="37"/>
      <c r="L8" s="51" t="e">
        <f>Лист2!#REF!</f>
        <v>#REF!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5">
      <c r="A9" s="1"/>
      <c r="B9" s="202" t="str">
        <f>Назви!A3</f>
        <v>Процентна ставка, % річних</v>
      </c>
      <c r="C9" s="203">
        <f>Назви!B3</f>
        <v>0</v>
      </c>
      <c r="D9" s="203">
        <f>Назви!C3</f>
        <v>0</v>
      </c>
      <c r="E9" s="203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e">
        <f>Лист2!#REF!</f>
        <v>#REF!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5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65" customHeight="1" x14ac:dyDescent="0.25">
      <c r="A11" s="1"/>
      <c r="B11" s="204" t="str">
        <f>Назви!A5</f>
        <v>Разовий страховий тариф, %</v>
      </c>
      <c r="C11" s="205">
        <f>Назви!B5</f>
        <v>0</v>
      </c>
      <c r="D11" s="205">
        <f>Назви!C5</f>
        <v>0</v>
      </c>
      <c r="E11" s="205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2" customHeight="1" x14ac:dyDescent="0.25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65" customHeight="1" x14ac:dyDescent="0.25">
      <c r="A13" s="1"/>
      <c r="B13" s="206" t="s">
        <v>41</v>
      </c>
      <c r="C13" s="206"/>
      <c r="D13" s="206"/>
      <c r="E13" s="204"/>
      <c r="F13" s="140">
        <f>VLOOKUP(H$2,Лист2!$A:$J,9,0)</f>
        <v>15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" customHeight="1" x14ac:dyDescent="0.25">
      <c r="A14" s="189"/>
      <c r="B14" s="189"/>
      <c r="C14" s="189"/>
      <c r="D14" s="189"/>
      <c r="E14" s="189"/>
      <c r="F14" s="189"/>
      <c r="G14" s="189"/>
      <c r="H14" s="189"/>
      <c r="I14" s="189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65" customHeight="1" x14ac:dyDescent="0.25">
      <c r="A15" s="1"/>
      <c r="B15" s="206" t="s">
        <v>39</v>
      </c>
      <c r="C15" s="206"/>
      <c r="D15" s="206"/>
      <c r="E15" s="204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5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5">
      <c r="A17" s="1"/>
      <c r="B17" s="206" t="s">
        <v>40</v>
      </c>
      <c r="C17" s="206"/>
      <c r="D17" s="206"/>
      <c r="E17" s="206"/>
      <c r="F17" s="134">
        <f>VLOOKUP(H$2,Лист2!$A:$K,11,0)</f>
        <v>0.12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" customHeight="1" x14ac:dyDescent="0.25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5">
      <c r="A19" s="1"/>
      <c r="B19" s="204" t="str">
        <f>Назви!A7</f>
        <v xml:space="preserve">Щомісячна плата за обслуговування кредитної заборгованості, % </v>
      </c>
      <c r="C19" s="205">
        <f>Назви!B7</f>
        <v>0</v>
      </c>
      <c r="D19" s="205">
        <f>Назви!C7</f>
        <v>0</v>
      </c>
      <c r="E19" s="229">
        <f>Назви!D7</f>
        <v>0</v>
      </c>
      <c r="F19" s="134">
        <f>VLOOKUP(H$2,Лист2!$A:$G,6,0)</f>
        <v>5.9900000000000002E-2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5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5">
      <c r="A21" s="1"/>
      <c r="B21" s="204" t="str">
        <f>Назви!A9</f>
        <v>Термін кредитування (міс.)</v>
      </c>
      <c r="C21" s="205">
        <f>Назви!B9</f>
        <v>0</v>
      </c>
      <c r="D21" s="205">
        <f>Назви!C9</f>
        <v>0</v>
      </c>
      <c r="E21" s="229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5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5">
      <c r="A23" s="1"/>
      <c r="B23" s="102"/>
      <c r="C23" s="142"/>
      <c r="D23" s="102"/>
      <c r="E23" s="149">
        <f>E22+E3</f>
        <v>99999.995200000005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5">
      <c r="A24" s="1"/>
      <c r="B24" s="224" t="str">
        <f>Назви!A14</f>
        <v>Орієнтовні загальні витрати за кредитом, грн.</v>
      </c>
      <c r="C24" s="225"/>
      <c r="D24" s="225"/>
      <c r="E24" s="225"/>
      <c r="F24" s="160">
        <f>G100-E3</f>
        <v>125816.77967507992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5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5">
      <c r="A26" s="1"/>
      <c r="B26" s="224" t="str">
        <f>Назви!A16</f>
        <v>Орієнтовна загальна вартість кредиту, грн.</v>
      </c>
      <c r="C26" s="225">
        <f>Назви!B14</f>
        <v>0</v>
      </c>
      <c r="D26" s="225">
        <f>Назви!C14</f>
        <v>0</v>
      </c>
      <c r="E26" s="226">
        <f>Назви!D14</f>
        <v>0</v>
      </c>
      <c r="F26" s="144">
        <f>E3+F24</f>
        <v>225816.77487507992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5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5">
      <c r="A28" s="1"/>
      <c r="B28" s="224" t="str">
        <f>Назви!A18</f>
        <v>Реальна річна процентна ставка, %</v>
      </c>
      <c r="C28" s="225">
        <f>Назви!B16</f>
        <v>0</v>
      </c>
      <c r="D28" s="225">
        <f>Назви!C16</f>
        <v>0</v>
      </c>
      <c r="E28" s="226">
        <f>Назви!D16</f>
        <v>0</v>
      </c>
      <c r="F28" s="147">
        <f ca="1">XIRR(G39:G87,C39:C87)</f>
        <v>0.71383296251297024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5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5">
      <c r="A30" s="1"/>
      <c r="B30" s="227" t="str">
        <f>Назви!A19</f>
        <v>Інший термін</v>
      </c>
      <c r="C30" s="228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5">
      <c r="A31" s="40" t="str">
        <f>LEFT(B31,2)</f>
        <v>24</v>
      </c>
      <c r="B31" s="217" t="s">
        <v>32</v>
      </c>
      <c r="C31" s="218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5">
      <c r="A32" s="40" t="str">
        <f>LEFT(B32,2)</f>
        <v>18</v>
      </c>
      <c r="B32" s="217" t="s">
        <v>33</v>
      </c>
      <c r="C32" s="218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5">
      <c r="A33" s="40" t="str">
        <f>LEFT(B33,2)</f>
        <v>12</v>
      </c>
      <c r="B33" s="217" t="s">
        <v>9</v>
      </c>
      <c r="C33" s="218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5">
      <c r="A34" s="40" t="str">
        <f>LEFT(B34,2)</f>
        <v/>
      </c>
      <c r="B34" s="217"/>
      <c r="C34" s="218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5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8" thickBot="1" x14ac:dyDescent="0.3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" thickBot="1" x14ac:dyDescent="0.3">
      <c r="A37" s="1"/>
      <c r="B37" s="219" t="str">
        <f>Назви!A26</f>
        <v xml:space="preserve">ГРАФІК СПЛАТИ КРЕДИТУ </v>
      </c>
      <c r="C37" s="220"/>
      <c r="D37" s="220"/>
      <c r="E37" s="220"/>
      <c r="F37" s="220"/>
      <c r="G37" s="220"/>
      <c r="H37" s="22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" customHeight="1" thickBot="1" x14ac:dyDescent="0.3">
      <c r="A38" s="1"/>
      <c r="B38" s="222" t="str">
        <f>Назви!A27</f>
        <v>Місяць</v>
      </c>
      <c r="C38" s="22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2" t="str">
        <f>Назви!F27</f>
        <v>Загальна сума внесків до повернення в місяць, грн.</v>
      </c>
      <c r="H38" s="22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5" hidden="1" customHeight="1" thickBot="1" x14ac:dyDescent="0.3">
      <c r="A39" s="1"/>
      <c r="B39" s="90">
        <v>0</v>
      </c>
      <c r="C39" s="159">
        <f ca="1">TODAY()</f>
        <v>45716</v>
      </c>
      <c r="D39" s="91"/>
      <c r="E39" s="92"/>
      <c r="F39" s="91"/>
      <c r="G39" s="158">
        <f>-F5</f>
        <v>-89285.71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5">
      <c r="A40" s="1">
        <v>1</v>
      </c>
      <c r="B40" s="101">
        <v>1</v>
      </c>
      <c r="C40" s="106">
        <f ca="1">DATE(YEAR(C39),MONTH(C39)+1,DAY(C39))</f>
        <v>45744</v>
      </c>
      <c r="D40" s="19">
        <f>IF(B40&lt;=$F$21,$F$7/$F$21,0)</f>
        <v>2777.7776444444444</v>
      </c>
      <c r="E40" s="20">
        <f>IF(AND(B40&gt;F$13,B40&lt;=$F$21),F$7*F$19,0)</f>
        <v>0</v>
      </c>
      <c r="F40" s="182">
        <f>IF(B40&lt;=$F$21,F$5*F$9/12,0)</f>
        <v>0.74404758333333343</v>
      </c>
      <c r="G40" s="208">
        <f t="shared" ref="G40:G71" si="0">IF(B$40&lt;=F$21,D40+E40+F40,0)</f>
        <v>2778.5216920277776</v>
      </c>
      <c r="H40" s="20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5">
      <c r="A41" s="1">
        <v>2</v>
      </c>
      <c r="B41" s="100">
        <v>2</v>
      </c>
      <c r="C41" s="103">
        <f t="shared" ref="C41:C99" ca="1" si="1">DATE(YEAR(C40),MONTH(C40)+1,DAY(C40))</f>
        <v>45775</v>
      </c>
      <c r="D41" s="19">
        <f t="shared" ref="D41:D87" si="2">IF(B41&lt;=$F$21,$F$7/$F$21,0)</f>
        <v>2777.7776444444444</v>
      </c>
      <c r="E41" s="20">
        <f t="shared" ref="E41:E99" si="3">IF(AND(B41&gt;F$13,B41&lt;=$F$21),F$7*F$19,0)</f>
        <v>0</v>
      </c>
      <c r="F41" s="20">
        <f t="shared" ref="F41:F99" si="4">IF(B41&lt;=$F$21,F$5*F$9/12,0)</f>
        <v>0.74404758333333343</v>
      </c>
      <c r="G41" s="208">
        <f t="shared" si="0"/>
        <v>2778.5216920277776</v>
      </c>
      <c r="H41" s="20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5">
      <c r="A42" s="1">
        <v>3</v>
      </c>
      <c r="B42" s="100">
        <v>3</v>
      </c>
      <c r="C42" s="103">
        <f t="shared" ca="1" si="1"/>
        <v>45805</v>
      </c>
      <c r="D42" s="19">
        <f t="shared" si="2"/>
        <v>2777.7776444444444</v>
      </c>
      <c r="E42" s="20">
        <f t="shared" si="3"/>
        <v>0</v>
      </c>
      <c r="F42" s="20">
        <f t="shared" si="4"/>
        <v>0.74404758333333343</v>
      </c>
      <c r="G42" s="208">
        <f t="shared" si="0"/>
        <v>2778.5216920277776</v>
      </c>
      <c r="H42" s="20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5">
      <c r="A43" s="1">
        <v>4</v>
      </c>
      <c r="B43" s="100">
        <v>4</v>
      </c>
      <c r="C43" s="103">
        <f t="shared" ca="1" si="1"/>
        <v>45836</v>
      </c>
      <c r="D43" s="19">
        <f t="shared" si="2"/>
        <v>2777.7776444444444</v>
      </c>
      <c r="E43" s="20">
        <f t="shared" si="3"/>
        <v>0</v>
      </c>
      <c r="F43" s="20">
        <f t="shared" si="4"/>
        <v>0.74404758333333343</v>
      </c>
      <c r="G43" s="208">
        <f t="shared" si="0"/>
        <v>2778.5216920277776</v>
      </c>
      <c r="H43" s="20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5">
      <c r="A44" s="1">
        <v>5</v>
      </c>
      <c r="B44" s="100">
        <v>5</v>
      </c>
      <c r="C44" s="103">
        <f t="shared" ca="1" si="1"/>
        <v>45866</v>
      </c>
      <c r="D44" s="19">
        <f t="shared" si="2"/>
        <v>2777.7776444444444</v>
      </c>
      <c r="E44" s="20">
        <f t="shared" si="3"/>
        <v>0</v>
      </c>
      <c r="F44" s="20">
        <f t="shared" si="4"/>
        <v>0.74404758333333343</v>
      </c>
      <c r="G44" s="208">
        <f t="shared" si="0"/>
        <v>2778.5216920277776</v>
      </c>
      <c r="H44" s="20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5">
      <c r="A45" s="1">
        <v>6</v>
      </c>
      <c r="B45" s="100">
        <v>6</v>
      </c>
      <c r="C45" s="103">
        <f t="shared" ca="1" si="1"/>
        <v>45897</v>
      </c>
      <c r="D45" s="19">
        <f t="shared" si="2"/>
        <v>2777.7776444444444</v>
      </c>
      <c r="E45" s="20">
        <f t="shared" si="3"/>
        <v>0</v>
      </c>
      <c r="F45" s="20">
        <f t="shared" si="4"/>
        <v>0.74404758333333343</v>
      </c>
      <c r="G45" s="208">
        <f t="shared" si="0"/>
        <v>2778.5216920277776</v>
      </c>
      <c r="H45" s="20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5">
      <c r="A46" s="1">
        <v>7</v>
      </c>
      <c r="B46" s="100">
        <v>7</v>
      </c>
      <c r="C46" s="103">
        <f t="shared" ca="1" si="1"/>
        <v>45928</v>
      </c>
      <c r="D46" s="19">
        <f t="shared" si="2"/>
        <v>2777.7776444444444</v>
      </c>
      <c r="E46" s="20">
        <f t="shared" si="3"/>
        <v>0</v>
      </c>
      <c r="F46" s="20">
        <f t="shared" si="4"/>
        <v>0.74404758333333343</v>
      </c>
      <c r="G46" s="208">
        <f t="shared" si="0"/>
        <v>2778.5216920277776</v>
      </c>
      <c r="H46" s="20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5">
      <c r="A47" s="1">
        <v>8</v>
      </c>
      <c r="B47" s="100">
        <v>8</v>
      </c>
      <c r="C47" s="103">
        <f t="shared" ca="1" si="1"/>
        <v>45958</v>
      </c>
      <c r="D47" s="19">
        <f t="shared" si="2"/>
        <v>2777.7776444444444</v>
      </c>
      <c r="E47" s="20">
        <f t="shared" si="3"/>
        <v>0</v>
      </c>
      <c r="F47" s="20">
        <f t="shared" si="4"/>
        <v>0.74404758333333343</v>
      </c>
      <c r="G47" s="208">
        <f t="shared" si="0"/>
        <v>2778.5216920277776</v>
      </c>
      <c r="H47" s="20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5">
      <c r="A48" s="1">
        <v>9</v>
      </c>
      <c r="B48" s="100">
        <v>9</v>
      </c>
      <c r="C48" s="103">
        <f t="shared" ca="1" si="1"/>
        <v>45989</v>
      </c>
      <c r="D48" s="19">
        <f t="shared" si="2"/>
        <v>2777.7776444444444</v>
      </c>
      <c r="E48" s="20">
        <f t="shared" si="3"/>
        <v>0</v>
      </c>
      <c r="F48" s="20">
        <f t="shared" si="4"/>
        <v>0.74404758333333343</v>
      </c>
      <c r="G48" s="208">
        <f t="shared" si="0"/>
        <v>2778.5216920277776</v>
      </c>
      <c r="H48" s="20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5">
      <c r="A49" s="1">
        <v>10</v>
      </c>
      <c r="B49" s="100">
        <v>10</v>
      </c>
      <c r="C49" s="103">
        <f t="shared" ca="1" si="1"/>
        <v>46019</v>
      </c>
      <c r="D49" s="19">
        <f t="shared" si="2"/>
        <v>2777.7776444444444</v>
      </c>
      <c r="E49" s="20">
        <f t="shared" si="3"/>
        <v>0</v>
      </c>
      <c r="F49" s="20">
        <f t="shared" si="4"/>
        <v>0.74404758333333343</v>
      </c>
      <c r="G49" s="208">
        <f t="shared" si="0"/>
        <v>2778.5216920277776</v>
      </c>
      <c r="H49" s="20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5">
      <c r="A50" s="1">
        <v>22</v>
      </c>
      <c r="B50" s="100">
        <v>11</v>
      </c>
      <c r="C50" s="103">
        <f t="shared" ca="1" si="1"/>
        <v>46050</v>
      </c>
      <c r="D50" s="19">
        <f t="shared" si="2"/>
        <v>2777.7776444444444</v>
      </c>
      <c r="E50" s="20">
        <f t="shared" si="3"/>
        <v>0</v>
      </c>
      <c r="F50" s="20">
        <f t="shared" si="4"/>
        <v>0.74404758333333343</v>
      </c>
      <c r="G50" s="208">
        <f t="shared" si="0"/>
        <v>2778.5216920277776</v>
      </c>
      <c r="H50" s="20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5">
      <c r="A51" s="1">
        <v>22</v>
      </c>
      <c r="B51" s="100">
        <v>12</v>
      </c>
      <c r="C51" s="103">
        <f t="shared" ca="1" si="1"/>
        <v>46081</v>
      </c>
      <c r="D51" s="19">
        <f t="shared" si="2"/>
        <v>2777.7776444444444</v>
      </c>
      <c r="E51" s="20">
        <f t="shared" si="3"/>
        <v>0</v>
      </c>
      <c r="F51" s="20">
        <f t="shared" si="4"/>
        <v>0.74404758333333343</v>
      </c>
      <c r="G51" s="208">
        <f t="shared" si="0"/>
        <v>2778.5216920277776</v>
      </c>
      <c r="H51" s="20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5">
      <c r="A52" s="1">
        <v>13</v>
      </c>
      <c r="B52" s="100">
        <v>13</v>
      </c>
      <c r="C52" s="103">
        <f t="shared" ca="1" si="1"/>
        <v>46109</v>
      </c>
      <c r="D52" s="19">
        <f t="shared" si="2"/>
        <v>2777.7776444444444</v>
      </c>
      <c r="E52" s="20">
        <f t="shared" si="3"/>
        <v>0</v>
      </c>
      <c r="F52" s="20">
        <f t="shared" si="4"/>
        <v>0.74404758333333343</v>
      </c>
      <c r="G52" s="208">
        <f t="shared" si="0"/>
        <v>2778.5216920277776</v>
      </c>
      <c r="H52" s="20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5">
      <c r="A53" s="1">
        <v>14</v>
      </c>
      <c r="B53" s="100">
        <v>14</v>
      </c>
      <c r="C53" s="103">
        <f t="shared" ca="1" si="1"/>
        <v>46140</v>
      </c>
      <c r="D53" s="19">
        <f t="shared" si="2"/>
        <v>2777.7776444444444</v>
      </c>
      <c r="E53" s="20">
        <f t="shared" si="3"/>
        <v>0</v>
      </c>
      <c r="F53" s="20">
        <f t="shared" si="4"/>
        <v>0.74404758333333343</v>
      </c>
      <c r="G53" s="208">
        <f t="shared" si="0"/>
        <v>2778.5216920277776</v>
      </c>
      <c r="H53" s="20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5">
      <c r="A54" s="1">
        <v>15</v>
      </c>
      <c r="B54" s="100">
        <v>15</v>
      </c>
      <c r="C54" s="103">
        <f t="shared" ca="1" si="1"/>
        <v>46170</v>
      </c>
      <c r="D54" s="19">
        <f t="shared" si="2"/>
        <v>2777.7776444444444</v>
      </c>
      <c r="E54" s="20">
        <f t="shared" si="3"/>
        <v>0</v>
      </c>
      <c r="F54" s="20">
        <f t="shared" si="4"/>
        <v>0.74404758333333343</v>
      </c>
      <c r="G54" s="208">
        <f t="shared" si="0"/>
        <v>2778.5216920277776</v>
      </c>
      <c r="H54" s="20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5">
      <c r="A55" s="1">
        <v>16</v>
      </c>
      <c r="B55" s="100">
        <v>16</v>
      </c>
      <c r="C55" s="103">
        <f t="shared" ca="1" si="1"/>
        <v>46201</v>
      </c>
      <c r="D55" s="19">
        <f t="shared" si="2"/>
        <v>2777.7776444444444</v>
      </c>
      <c r="E55" s="20">
        <f t="shared" si="3"/>
        <v>5989.9997124800002</v>
      </c>
      <c r="F55" s="20">
        <f t="shared" si="4"/>
        <v>0.74404758333333343</v>
      </c>
      <c r="G55" s="208">
        <f t="shared" si="0"/>
        <v>8768.5214045077792</v>
      </c>
      <c r="H55" s="20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5">
      <c r="A56" s="1">
        <v>22</v>
      </c>
      <c r="B56" s="100">
        <v>17</v>
      </c>
      <c r="C56" s="103">
        <f t="shared" ca="1" si="1"/>
        <v>46231</v>
      </c>
      <c r="D56" s="19">
        <f t="shared" si="2"/>
        <v>2777.7776444444444</v>
      </c>
      <c r="E56" s="20">
        <f t="shared" si="3"/>
        <v>5989.9997124800002</v>
      </c>
      <c r="F56" s="20">
        <f t="shared" si="4"/>
        <v>0.74404758333333343</v>
      </c>
      <c r="G56" s="208">
        <f t="shared" si="0"/>
        <v>8768.5214045077792</v>
      </c>
      <c r="H56" s="20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5">
      <c r="A57" s="1">
        <v>22</v>
      </c>
      <c r="B57" s="100">
        <v>18</v>
      </c>
      <c r="C57" s="103">
        <f t="shared" ca="1" si="1"/>
        <v>46262</v>
      </c>
      <c r="D57" s="19">
        <f t="shared" si="2"/>
        <v>2777.7776444444444</v>
      </c>
      <c r="E57" s="20">
        <f t="shared" si="3"/>
        <v>5989.9997124800002</v>
      </c>
      <c r="F57" s="20">
        <f t="shared" si="4"/>
        <v>0.74404758333333343</v>
      </c>
      <c r="G57" s="208">
        <f t="shared" si="0"/>
        <v>8768.5214045077792</v>
      </c>
      <c r="H57" s="20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5">
      <c r="A58" s="1">
        <v>19</v>
      </c>
      <c r="B58" s="100">
        <v>19</v>
      </c>
      <c r="C58" s="103">
        <f t="shared" ca="1" si="1"/>
        <v>46293</v>
      </c>
      <c r="D58" s="19">
        <f t="shared" si="2"/>
        <v>2777.7776444444444</v>
      </c>
      <c r="E58" s="20">
        <f t="shared" si="3"/>
        <v>5989.9997124800002</v>
      </c>
      <c r="F58" s="20">
        <f t="shared" si="4"/>
        <v>0.74404758333333343</v>
      </c>
      <c r="G58" s="208">
        <f t="shared" si="0"/>
        <v>8768.5214045077792</v>
      </c>
      <c r="H58" s="20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5">
      <c r="A59" s="1">
        <v>20</v>
      </c>
      <c r="B59" s="100">
        <v>20</v>
      </c>
      <c r="C59" s="103">
        <f t="shared" ca="1" si="1"/>
        <v>46323</v>
      </c>
      <c r="D59" s="19">
        <f t="shared" si="2"/>
        <v>2777.7776444444444</v>
      </c>
      <c r="E59" s="20">
        <f t="shared" si="3"/>
        <v>5989.9997124800002</v>
      </c>
      <c r="F59" s="20">
        <f t="shared" si="4"/>
        <v>0.74404758333333343</v>
      </c>
      <c r="G59" s="208">
        <f t="shared" si="0"/>
        <v>8768.5214045077792</v>
      </c>
      <c r="H59" s="20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5">
      <c r="A60" s="43">
        <v>21</v>
      </c>
      <c r="B60" s="100">
        <v>21</v>
      </c>
      <c r="C60" s="103">
        <f t="shared" ca="1" si="1"/>
        <v>46354</v>
      </c>
      <c r="D60" s="19">
        <f t="shared" si="2"/>
        <v>2777.7776444444444</v>
      </c>
      <c r="E60" s="20">
        <f t="shared" si="3"/>
        <v>5989.9997124800002</v>
      </c>
      <c r="F60" s="20">
        <f t="shared" si="4"/>
        <v>0.74404758333333343</v>
      </c>
      <c r="G60" s="208">
        <f t="shared" si="0"/>
        <v>8768.5214045077792</v>
      </c>
      <c r="H60" s="20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5">
      <c r="A61" s="43">
        <v>22</v>
      </c>
      <c r="B61" s="100">
        <v>22</v>
      </c>
      <c r="C61" s="103">
        <f t="shared" ca="1" si="1"/>
        <v>46384</v>
      </c>
      <c r="D61" s="19">
        <f t="shared" si="2"/>
        <v>2777.7776444444444</v>
      </c>
      <c r="E61" s="20">
        <f t="shared" si="3"/>
        <v>5989.9997124800002</v>
      </c>
      <c r="F61" s="20">
        <f t="shared" si="4"/>
        <v>0.74404758333333343</v>
      </c>
      <c r="G61" s="208">
        <f t="shared" si="0"/>
        <v>8768.5214045077792</v>
      </c>
      <c r="H61" s="20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5">
      <c r="A62" s="43">
        <v>25</v>
      </c>
      <c r="B62" s="100">
        <v>23</v>
      </c>
      <c r="C62" s="103">
        <f t="shared" ca="1" si="1"/>
        <v>46415</v>
      </c>
      <c r="D62" s="19">
        <f t="shared" si="2"/>
        <v>2777.7776444444444</v>
      </c>
      <c r="E62" s="20">
        <f t="shared" si="3"/>
        <v>5989.9997124800002</v>
      </c>
      <c r="F62" s="20">
        <f t="shared" si="4"/>
        <v>0.74404758333333343</v>
      </c>
      <c r="G62" s="208">
        <f t="shared" si="0"/>
        <v>8768.5214045077792</v>
      </c>
      <c r="H62" s="20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5">
      <c r="A63" s="43"/>
      <c r="B63" s="100">
        <v>24</v>
      </c>
      <c r="C63" s="103">
        <f t="shared" ca="1" si="1"/>
        <v>46446</v>
      </c>
      <c r="D63" s="19">
        <f t="shared" si="2"/>
        <v>2777.7776444444444</v>
      </c>
      <c r="E63" s="20">
        <f t="shared" si="3"/>
        <v>5989.9997124800002</v>
      </c>
      <c r="F63" s="20">
        <f t="shared" si="4"/>
        <v>0.74404758333333343</v>
      </c>
      <c r="G63" s="208">
        <f t="shared" si="0"/>
        <v>8768.5214045077792</v>
      </c>
      <c r="H63" s="20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5">
      <c r="A64" s="43"/>
      <c r="B64" s="100">
        <v>25</v>
      </c>
      <c r="C64" s="103">
        <f t="shared" ca="1" si="1"/>
        <v>46474</v>
      </c>
      <c r="D64" s="19">
        <f t="shared" si="2"/>
        <v>2777.7776444444444</v>
      </c>
      <c r="E64" s="20">
        <f t="shared" si="3"/>
        <v>5989.9997124800002</v>
      </c>
      <c r="F64" s="20">
        <f t="shared" si="4"/>
        <v>0.74404758333333343</v>
      </c>
      <c r="G64" s="208">
        <f t="shared" si="0"/>
        <v>8768.5214045077792</v>
      </c>
      <c r="H64" s="20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5">
      <c r="A65" s="43"/>
      <c r="B65" s="100">
        <v>26</v>
      </c>
      <c r="C65" s="103">
        <f t="shared" ca="1" si="1"/>
        <v>46505</v>
      </c>
      <c r="D65" s="19">
        <f t="shared" si="2"/>
        <v>2777.7776444444444</v>
      </c>
      <c r="E65" s="20">
        <f t="shared" si="3"/>
        <v>5989.9997124800002</v>
      </c>
      <c r="F65" s="20">
        <f t="shared" si="4"/>
        <v>0.74404758333333343</v>
      </c>
      <c r="G65" s="208">
        <f t="shared" si="0"/>
        <v>8768.5214045077792</v>
      </c>
      <c r="H65" s="20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5">
      <c r="A66" s="43"/>
      <c r="B66" s="100">
        <v>27</v>
      </c>
      <c r="C66" s="103">
        <f t="shared" ca="1" si="1"/>
        <v>46535</v>
      </c>
      <c r="D66" s="19">
        <f t="shared" si="2"/>
        <v>2777.7776444444444</v>
      </c>
      <c r="E66" s="20">
        <f t="shared" si="3"/>
        <v>5989.9997124800002</v>
      </c>
      <c r="F66" s="20">
        <f t="shared" si="4"/>
        <v>0.74404758333333343</v>
      </c>
      <c r="G66" s="208">
        <f t="shared" si="0"/>
        <v>8768.5214045077792</v>
      </c>
      <c r="H66" s="20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5">
      <c r="A67" s="43"/>
      <c r="B67" s="100">
        <v>28</v>
      </c>
      <c r="C67" s="103">
        <f t="shared" ca="1" si="1"/>
        <v>46566</v>
      </c>
      <c r="D67" s="19">
        <f t="shared" si="2"/>
        <v>2777.7776444444444</v>
      </c>
      <c r="E67" s="20">
        <f t="shared" si="3"/>
        <v>5989.9997124800002</v>
      </c>
      <c r="F67" s="20">
        <f t="shared" si="4"/>
        <v>0.74404758333333343</v>
      </c>
      <c r="G67" s="208">
        <f t="shared" si="0"/>
        <v>8768.5214045077792</v>
      </c>
      <c r="H67" s="20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5">
      <c r="A68" s="43"/>
      <c r="B68" s="100">
        <v>29</v>
      </c>
      <c r="C68" s="103">
        <f t="shared" ca="1" si="1"/>
        <v>46596</v>
      </c>
      <c r="D68" s="19">
        <f t="shared" si="2"/>
        <v>2777.7776444444444</v>
      </c>
      <c r="E68" s="20">
        <f t="shared" si="3"/>
        <v>5989.9997124800002</v>
      </c>
      <c r="F68" s="20">
        <f t="shared" si="4"/>
        <v>0.74404758333333343</v>
      </c>
      <c r="G68" s="208">
        <f t="shared" si="0"/>
        <v>8768.5214045077792</v>
      </c>
      <c r="H68" s="20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5">
      <c r="A69" s="43">
        <v>25</v>
      </c>
      <c r="B69" s="100">
        <v>30</v>
      </c>
      <c r="C69" s="103">
        <f t="shared" ca="1" si="1"/>
        <v>46627</v>
      </c>
      <c r="D69" s="19">
        <f t="shared" si="2"/>
        <v>2777.7776444444444</v>
      </c>
      <c r="E69" s="20">
        <f t="shared" si="3"/>
        <v>5989.9997124800002</v>
      </c>
      <c r="F69" s="20">
        <f t="shared" si="4"/>
        <v>0.74404758333333343</v>
      </c>
      <c r="G69" s="208">
        <f t="shared" si="0"/>
        <v>8768.5214045077792</v>
      </c>
      <c r="H69" s="20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5">
      <c r="A70" s="43"/>
      <c r="B70" s="100">
        <v>31</v>
      </c>
      <c r="C70" s="103">
        <f t="shared" ca="1" si="1"/>
        <v>46658</v>
      </c>
      <c r="D70" s="19">
        <f t="shared" si="2"/>
        <v>2777.7776444444444</v>
      </c>
      <c r="E70" s="20">
        <f t="shared" si="3"/>
        <v>5989.9997124800002</v>
      </c>
      <c r="F70" s="20">
        <f t="shared" si="4"/>
        <v>0.74404758333333343</v>
      </c>
      <c r="G70" s="208">
        <f t="shared" si="0"/>
        <v>8768.5214045077792</v>
      </c>
      <c r="H70" s="20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5">
      <c r="A71" s="43"/>
      <c r="B71" s="100">
        <v>32</v>
      </c>
      <c r="C71" s="103">
        <f t="shared" ca="1" si="1"/>
        <v>46688</v>
      </c>
      <c r="D71" s="19">
        <f t="shared" si="2"/>
        <v>2777.7776444444444</v>
      </c>
      <c r="E71" s="20">
        <f t="shared" si="3"/>
        <v>5989.9997124800002</v>
      </c>
      <c r="F71" s="20">
        <f t="shared" si="4"/>
        <v>0.74404758333333343</v>
      </c>
      <c r="G71" s="208">
        <f t="shared" si="0"/>
        <v>8768.5214045077792</v>
      </c>
      <c r="H71" s="20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5">
      <c r="A72" s="43"/>
      <c r="B72" s="100">
        <v>33</v>
      </c>
      <c r="C72" s="103">
        <f t="shared" ca="1" si="1"/>
        <v>46719</v>
      </c>
      <c r="D72" s="19">
        <f t="shared" si="2"/>
        <v>2777.7776444444444</v>
      </c>
      <c r="E72" s="20">
        <f t="shared" si="3"/>
        <v>5989.9997124800002</v>
      </c>
      <c r="F72" s="20">
        <f t="shared" si="4"/>
        <v>0.74404758333333343</v>
      </c>
      <c r="G72" s="208">
        <f t="shared" ref="G72:G99" si="5">IF(B$40&lt;=F$21,D72+E72+F72,0)</f>
        <v>8768.5214045077792</v>
      </c>
      <c r="H72" s="20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5">
      <c r="A73" s="43"/>
      <c r="B73" s="100">
        <v>34</v>
      </c>
      <c r="C73" s="103">
        <f t="shared" ca="1" si="1"/>
        <v>46749</v>
      </c>
      <c r="D73" s="19">
        <f t="shared" si="2"/>
        <v>2777.7776444444444</v>
      </c>
      <c r="E73" s="20">
        <f t="shared" si="3"/>
        <v>5989.9997124800002</v>
      </c>
      <c r="F73" s="20">
        <f t="shared" si="4"/>
        <v>0.74404758333333343</v>
      </c>
      <c r="G73" s="208">
        <f t="shared" si="5"/>
        <v>8768.5214045077792</v>
      </c>
      <c r="H73" s="20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5">
      <c r="A74" s="43"/>
      <c r="B74" s="100">
        <v>35</v>
      </c>
      <c r="C74" s="103">
        <f t="shared" ca="1" si="1"/>
        <v>46780</v>
      </c>
      <c r="D74" s="19">
        <f t="shared" si="2"/>
        <v>2777.7776444444444</v>
      </c>
      <c r="E74" s="20">
        <f t="shared" si="3"/>
        <v>5989.9997124800002</v>
      </c>
      <c r="F74" s="20">
        <f t="shared" si="4"/>
        <v>0.74404758333333343</v>
      </c>
      <c r="G74" s="208">
        <f t="shared" si="5"/>
        <v>8768.5214045077792</v>
      </c>
      <c r="H74" s="20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5">
      <c r="A75" s="43"/>
      <c r="B75" s="100">
        <v>36</v>
      </c>
      <c r="C75" s="103">
        <f t="shared" ca="1" si="1"/>
        <v>46811</v>
      </c>
      <c r="D75" s="19">
        <f t="shared" si="2"/>
        <v>2777.7776444444444</v>
      </c>
      <c r="E75" s="20">
        <f t="shared" si="3"/>
        <v>5989.9997124800002</v>
      </c>
      <c r="F75" s="20">
        <f t="shared" si="4"/>
        <v>0.74404758333333343</v>
      </c>
      <c r="G75" s="208">
        <f t="shared" si="5"/>
        <v>8768.5214045077792</v>
      </c>
      <c r="H75" s="20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5">
      <c r="A76" s="43"/>
      <c r="B76" s="100">
        <v>37</v>
      </c>
      <c r="C76" s="103">
        <f t="shared" ca="1" si="1"/>
        <v>46840</v>
      </c>
      <c r="D76" s="19">
        <f t="shared" si="2"/>
        <v>0</v>
      </c>
      <c r="E76" s="20">
        <f t="shared" si="3"/>
        <v>0</v>
      </c>
      <c r="F76" s="20">
        <f t="shared" si="4"/>
        <v>0</v>
      </c>
      <c r="G76" s="208">
        <f t="shared" si="5"/>
        <v>0</v>
      </c>
      <c r="H76" s="20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5">
      <c r="A77" s="43"/>
      <c r="B77" s="100">
        <v>38</v>
      </c>
      <c r="C77" s="103">
        <f t="shared" ca="1" si="1"/>
        <v>46871</v>
      </c>
      <c r="D77" s="19">
        <f t="shared" si="2"/>
        <v>0</v>
      </c>
      <c r="E77" s="20">
        <f t="shared" si="3"/>
        <v>0</v>
      </c>
      <c r="F77" s="20">
        <f t="shared" si="4"/>
        <v>0</v>
      </c>
      <c r="G77" s="208">
        <f t="shared" si="5"/>
        <v>0</v>
      </c>
      <c r="H77" s="20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5">
      <c r="A78" s="43"/>
      <c r="B78" s="100">
        <v>39</v>
      </c>
      <c r="C78" s="103">
        <f t="shared" ca="1" si="1"/>
        <v>46901</v>
      </c>
      <c r="D78" s="19">
        <f t="shared" si="2"/>
        <v>0</v>
      </c>
      <c r="E78" s="20">
        <f t="shared" si="3"/>
        <v>0</v>
      </c>
      <c r="F78" s="20">
        <f t="shared" si="4"/>
        <v>0</v>
      </c>
      <c r="G78" s="208">
        <f t="shared" si="5"/>
        <v>0</v>
      </c>
      <c r="H78" s="20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5">
      <c r="A79" s="43"/>
      <c r="B79" s="100">
        <v>40</v>
      </c>
      <c r="C79" s="103">
        <f t="shared" ca="1" si="1"/>
        <v>46932</v>
      </c>
      <c r="D79" s="19">
        <f t="shared" si="2"/>
        <v>0</v>
      </c>
      <c r="E79" s="20">
        <f t="shared" si="3"/>
        <v>0</v>
      </c>
      <c r="F79" s="20">
        <f t="shared" si="4"/>
        <v>0</v>
      </c>
      <c r="G79" s="208">
        <f t="shared" si="5"/>
        <v>0</v>
      </c>
      <c r="H79" s="20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5">
      <c r="A80" s="43"/>
      <c r="B80" s="100">
        <v>41</v>
      </c>
      <c r="C80" s="103">
        <f t="shared" ca="1" si="1"/>
        <v>46962</v>
      </c>
      <c r="D80" s="19">
        <f t="shared" si="2"/>
        <v>0</v>
      </c>
      <c r="E80" s="20">
        <f t="shared" si="3"/>
        <v>0</v>
      </c>
      <c r="F80" s="20">
        <f t="shared" si="4"/>
        <v>0</v>
      </c>
      <c r="G80" s="208">
        <f t="shared" si="5"/>
        <v>0</v>
      </c>
      <c r="H80" s="20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5">
      <c r="A81" s="43"/>
      <c r="B81" s="100">
        <v>42</v>
      </c>
      <c r="C81" s="103">
        <f t="shared" ca="1" si="1"/>
        <v>46993</v>
      </c>
      <c r="D81" s="19">
        <f t="shared" si="2"/>
        <v>0</v>
      </c>
      <c r="E81" s="20">
        <f t="shared" si="3"/>
        <v>0</v>
      </c>
      <c r="F81" s="20">
        <f t="shared" si="4"/>
        <v>0</v>
      </c>
      <c r="G81" s="208">
        <f t="shared" si="5"/>
        <v>0</v>
      </c>
      <c r="H81" s="20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5">
      <c r="A82" s="43"/>
      <c r="B82" s="100">
        <v>43</v>
      </c>
      <c r="C82" s="103">
        <f t="shared" ca="1" si="1"/>
        <v>47024</v>
      </c>
      <c r="D82" s="19">
        <f t="shared" si="2"/>
        <v>0</v>
      </c>
      <c r="E82" s="20">
        <f t="shared" si="3"/>
        <v>0</v>
      </c>
      <c r="F82" s="20">
        <f t="shared" si="4"/>
        <v>0</v>
      </c>
      <c r="G82" s="208">
        <f t="shared" si="5"/>
        <v>0</v>
      </c>
      <c r="H82" s="20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5">
      <c r="A83" s="43"/>
      <c r="B83" s="100">
        <v>44</v>
      </c>
      <c r="C83" s="103">
        <f t="shared" ca="1" si="1"/>
        <v>47054</v>
      </c>
      <c r="D83" s="19">
        <f t="shared" si="2"/>
        <v>0</v>
      </c>
      <c r="E83" s="20">
        <f t="shared" si="3"/>
        <v>0</v>
      </c>
      <c r="F83" s="20">
        <f t="shared" si="4"/>
        <v>0</v>
      </c>
      <c r="G83" s="208">
        <f t="shared" si="5"/>
        <v>0</v>
      </c>
      <c r="H83" s="20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5">
      <c r="A84" s="43"/>
      <c r="B84" s="100">
        <v>45</v>
      </c>
      <c r="C84" s="103">
        <f t="shared" ca="1" si="1"/>
        <v>47085</v>
      </c>
      <c r="D84" s="19">
        <f t="shared" si="2"/>
        <v>0</v>
      </c>
      <c r="E84" s="20">
        <f t="shared" si="3"/>
        <v>0</v>
      </c>
      <c r="F84" s="20">
        <f t="shared" si="4"/>
        <v>0</v>
      </c>
      <c r="G84" s="208">
        <f t="shared" si="5"/>
        <v>0</v>
      </c>
      <c r="H84" s="20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5">
      <c r="A85" s="43"/>
      <c r="B85" s="100">
        <v>46</v>
      </c>
      <c r="C85" s="103">
        <f t="shared" ca="1" si="1"/>
        <v>47115</v>
      </c>
      <c r="D85" s="19">
        <f t="shared" si="2"/>
        <v>0</v>
      </c>
      <c r="E85" s="20">
        <f t="shared" si="3"/>
        <v>0</v>
      </c>
      <c r="F85" s="20">
        <f t="shared" si="4"/>
        <v>0</v>
      </c>
      <c r="G85" s="208">
        <f t="shared" si="5"/>
        <v>0</v>
      </c>
      <c r="H85" s="20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5">
      <c r="A86" s="43"/>
      <c r="B86" s="100">
        <v>47</v>
      </c>
      <c r="C86" s="103">
        <f t="shared" ca="1" si="1"/>
        <v>47146</v>
      </c>
      <c r="D86" s="19">
        <f t="shared" si="2"/>
        <v>0</v>
      </c>
      <c r="E86" s="20">
        <f t="shared" si="3"/>
        <v>0</v>
      </c>
      <c r="F86" s="20">
        <f t="shared" si="4"/>
        <v>0</v>
      </c>
      <c r="G86" s="208">
        <f t="shared" si="5"/>
        <v>0</v>
      </c>
      <c r="H86" s="20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5">
      <c r="A87" s="43"/>
      <c r="B87" s="100">
        <v>48</v>
      </c>
      <c r="C87" s="103">
        <f t="shared" ca="1" si="1"/>
        <v>47177</v>
      </c>
      <c r="D87" s="19">
        <f t="shared" si="2"/>
        <v>0</v>
      </c>
      <c r="E87" s="20">
        <f t="shared" si="3"/>
        <v>0</v>
      </c>
      <c r="F87" s="20">
        <f t="shared" si="4"/>
        <v>0</v>
      </c>
      <c r="G87" s="208">
        <f t="shared" si="5"/>
        <v>0</v>
      </c>
      <c r="H87" s="20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8" thickBot="1" x14ac:dyDescent="0.3">
      <c r="A88" s="43"/>
      <c r="B88" s="100">
        <v>49</v>
      </c>
      <c r="C88" s="103">
        <f t="shared" ca="1" si="1"/>
        <v>47205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1">
        <f t="shared" si="4"/>
        <v>0</v>
      </c>
      <c r="G88" s="215">
        <f t="shared" si="5"/>
        <v>0</v>
      </c>
      <c r="H88" s="216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8" thickBot="1" x14ac:dyDescent="0.3">
      <c r="A89" s="43"/>
      <c r="B89" s="100">
        <v>50</v>
      </c>
      <c r="C89" s="103">
        <f t="shared" ca="1" si="1"/>
        <v>47236</v>
      </c>
      <c r="D89" s="107">
        <f t="shared" si="6"/>
        <v>0</v>
      </c>
      <c r="E89" s="108">
        <f t="shared" si="3"/>
        <v>0</v>
      </c>
      <c r="F89" s="108">
        <f t="shared" si="4"/>
        <v>0</v>
      </c>
      <c r="G89" s="209">
        <f t="shared" si="5"/>
        <v>0</v>
      </c>
      <c r="H89" s="210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8" thickBot="1" x14ac:dyDescent="0.3">
      <c r="A90" s="43"/>
      <c r="B90" s="100">
        <v>51</v>
      </c>
      <c r="C90" s="103">
        <f t="shared" ca="1" si="1"/>
        <v>47266</v>
      </c>
      <c r="D90" s="107">
        <f t="shared" si="6"/>
        <v>0</v>
      </c>
      <c r="E90" s="108">
        <f t="shared" si="3"/>
        <v>0</v>
      </c>
      <c r="F90" s="108">
        <f t="shared" si="4"/>
        <v>0</v>
      </c>
      <c r="G90" s="209">
        <f t="shared" si="5"/>
        <v>0</v>
      </c>
      <c r="H90" s="210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8" thickBot="1" x14ac:dyDescent="0.3">
      <c r="A91" s="43"/>
      <c r="B91" s="100">
        <v>52</v>
      </c>
      <c r="C91" s="103">
        <f t="shared" ca="1" si="1"/>
        <v>47297</v>
      </c>
      <c r="D91" s="107">
        <f t="shared" si="6"/>
        <v>0</v>
      </c>
      <c r="E91" s="108">
        <f t="shared" si="3"/>
        <v>0</v>
      </c>
      <c r="F91" s="108">
        <f t="shared" si="4"/>
        <v>0</v>
      </c>
      <c r="G91" s="209">
        <f t="shared" si="5"/>
        <v>0</v>
      </c>
      <c r="H91" s="210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8" thickBot="1" x14ac:dyDescent="0.3">
      <c r="A92" s="43"/>
      <c r="B92" s="100">
        <v>53</v>
      </c>
      <c r="C92" s="103">
        <f t="shared" ca="1" si="1"/>
        <v>47327</v>
      </c>
      <c r="D92" s="107">
        <f t="shared" si="6"/>
        <v>0</v>
      </c>
      <c r="E92" s="108">
        <f t="shared" si="3"/>
        <v>0</v>
      </c>
      <c r="F92" s="108">
        <f t="shared" si="4"/>
        <v>0</v>
      </c>
      <c r="G92" s="209">
        <f t="shared" si="5"/>
        <v>0</v>
      </c>
      <c r="H92" s="210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8" thickBot="1" x14ac:dyDescent="0.3">
      <c r="A93" s="43"/>
      <c r="B93" s="100">
        <v>54</v>
      </c>
      <c r="C93" s="103">
        <f t="shared" ca="1" si="1"/>
        <v>47358</v>
      </c>
      <c r="D93" s="107">
        <f t="shared" si="6"/>
        <v>0</v>
      </c>
      <c r="E93" s="108">
        <f t="shared" si="3"/>
        <v>0</v>
      </c>
      <c r="F93" s="108">
        <f t="shared" si="4"/>
        <v>0</v>
      </c>
      <c r="G93" s="209">
        <f t="shared" si="5"/>
        <v>0</v>
      </c>
      <c r="H93" s="210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8" thickBot="1" x14ac:dyDescent="0.3">
      <c r="A94" s="43"/>
      <c r="B94" s="100">
        <v>55</v>
      </c>
      <c r="C94" s="103">
        <f t="shared" ca="1" si="1"/>
        <v>47389</v>
      </c>
      <c r="D94" s="107">
        <f t="shared" si="6"/>
        <v>0</v>
      </c>
      <c r="E94" s="108">
        <f t="shared" si="3"/>
        <v>0</v>
      </c>
      <c r="F94" s="108">
        <f t="shared" si="4"/>
        <v>0</v>
      </c>
      <c r="G94" s="209">
        <f t="shared" si="5"/>
        <v>0</v>
      </c>
      <c r="H94" s="210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8" thickBot="1" x14ac:dyDescent="0.3">
      <c r="A95" s="43"/>
      <c r="B95" s="100">
        <v>56</v>
      </c>
      <c r="C95" s="103">
        <f t="shared" ca="1" si="1"/>
        <v>47419</v>
      </c>
      <c r="D95" s="107">
        <f t="shared" si="6"/>
        <v>0</v>
      </c>
      <c r="E95" s="108">
        <f t="shared" si="3"/>
        <v>0</v>
      </c>
      <c r="F95" s="108">
        <f t="shared" si="4"/>
        <v>0</v>
      </c>
      <c r="G95" s="209">
        <f t="shared" si="5"/>
        <v>0</v>
      </c>
      <c r="H95" s="210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8" thickBot="1" x14ac:dyDescent="0.3">
      <c r="A96" s="43"/>
      <c r="B96" s="100">
        <v>57</v>
      </c>
      <c r="C96" s="103">
        <f t="shared" ca="1" si="1"/>
        <v>47450</v>
      </c>
      <c r="D96" s="107">
        <f t="shared" si="6"/>
        <v>0</v>
      </c>
      <c r="E96" s="108">
        <f t="shared" si="3"/>
        <v>0</v>
      </c>
      <c r="F96" s="108">
        <f t="shared" si="4"/>
        <v>0</v>
      </c>
      <c r="G96" s="209">
        <f t="shared" si="5"/>
        <v>0</v>
      </c>
      <c r="H96" s="210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8" thickBot="1" x14ac:dyDescent="0.3">
      <c r="A97" s="43"/>
      <c r="B97" s="100">
        <v>58</v>
      </c>
      <c r="C97" s="103">
        <f t="shared" ca="1" si="1"/>
        <v>47480</v>
      </c>
      <c r="D97" s="107">
        <f t="shared" si="6"/>
        <v>0</v>
      </c>
      <c r="E97" s="108">
        <f t="shared" si="3"/>
        <v>0</v>
      </c>
      <c r="F97" s="108">
        <f t="shared" si="4"/>
        <v>0</v>
      </c>
      <c r="G97" s="209">
        <f t="shared" si="5"/>
        <v>0</v>
      </c>
      <c r="H97" s="210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8" thickBot="1" x14ac:dyDescent="0.3">
      <c r="A98" s="43"/>
      <c r="B98" s="100">
        <v>59</v>
      </c>
      <c r="C98" s="103">
        <f t="shared" ca="1" si="1"/>
        <v>47511</v>
      </c>
      <c r="D98" s="107">
        <f t="shared" si="6"/>
        <v>0</v>
      </c>
      <c r="E98" s="108">
        <f t="shared" si="3"/>
        <v>0</v>
      </c>
      <c r="F98" s="108">
        <f t="shared" si="4"/>
        <v>0</v>
      </c>
      <c r="G98" s="209">
        <f t="shared" si="5"/>
        <v>0</v>
      </c>
      <c r="H98" s="210"/>
      <c r="I98" s="104"/>
      <c r="J98" s="104"/>
    </row>
    <row r="99" spans="1:19" s="4" customFormat="1" ht="13.8" thickBot="1" x14ac:dyDescent="0.3">
      <c r="A99" s="43"/>
      <c r="B99" s="100">
        <v>60</v>
      </c>
      <c r="C99" s="103">
        <f t="shared" ca="1" si="1"/>
        <v>47542</v>
      </c>
      <c r="D99" s="107">
        <f t="shared" si="6"/>
        <v>0</v>
      </c>
      <c r="E99" s="108">
        <f t="shared" si="3"/>
        <v>0</v>
      </c>
      <c r="F99" s="108">
        <f t="shared" si="4"/>
        <v>0</v>
      </c>
      <c r="G99" s="209">
        <f t="shared" si="5"/>
        <v>0</v>
      </c>
      <c r="H99" s="210"/>
      <c r="I99" s="104"/>
      <c r="J99" s="104"/>
    </row>
    <row r="100" spans="1:19" s="4" customFormat="1" ht="16.2" thickBot="1" x14ac:dyDescent="0.3">
      <c r="A100" s="43"/>
      <c r="B100" s="213" t="s">
        <v>1</v>
      </c>
      <c r="C100" s="214"/>
      <c r="D100" s="93">
        <f>SUM(D40:D99)</f>
        <v>99999.995200000048</v>
      </c>
      <c r="E100" s="93">
        <f>SUM(E40:E99)</f>
        <v>125789.99396208</v>
      </c>
      <c r="F100" s="99">
        <f>SUM(F40:F99)</f>
        <v>26.785713000000012</v>
      </c>
      <c r="G100" s="211">
        <f>SUM(G40:H99)</f>
        <v>225816.77487507992</v>
      </c>
      <c r="H100" s="212"/>
      <c r="I100" s="104"/>
      <c r="J100" s="104"/>
    </row>
    <row r="101" spans="1:19" s="4" customFormat="1" x14ac:dyDescent="0.25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5">
      <c r="A102" s="43"/>
      <c r="B102" s="2"/>
      <c r="C102" s="21"/>
      <c r="D102" s="22"/>
      <c r="E102" s="207" t="s">
        <v>6</v>
      </c>
      <c r="F102" s="207"/>
      <c r="G102" s="207"/>
      <c r="H102" s="28"/>
      <c r="I102" s="104"/>
      <c r="J102" s="104"/>
    </row>
    <row r="103" spans="1:19" s="4" customFormat="1" x14ac:dyDescent="0.25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5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5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5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5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TKiRrjXDqP46+oyg+OBV0WkdjFkwa3HHmkg9pREpEXm5l2vyA2W15WIMUud7yah3r1gb9QA4xXsrFUDMShiJgg==" saltValue="H6ldiBHi1L6j7PYi6Up+aA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/>
  <dimension ref="B2:K55"/>
  <sheetViews>
    <sheetView topLeftCell="A25" workbookViewId="0">
      <selection activeCell="D20" sqref="D20"/>
    </sheetView>
  </sheetViews>
  <sheetFormatPr defaultRowHeight="13.2" x14ac:dyDescent="0.25"/>
  <cols>
    <col min="3" max="3" width="18.88671875" customWidth="1"/>
    <col min="4" max="4" width="46.6640625" bestFit="1" customWidth="1"/>
    <col min="5" max="5" width="100.33203125" bestFit="1" customWidth="1"/>
    <col min="11" max="11" width="27.33203125" customWidth="1"/>
  </cols>
  <sheetData>
    <row r="2" spans="2:11" x14ac:dyDescent="0.25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2" customHeight="1" x14ac:dyDescent="0.25">
      <c r="B5" s="230" t="s">
        <v>151</v>
      </c>
      <c r="C5" s="230"/>
      <c r="D5" s="179" t="s">
        <v>154</v>
      </c>
      <c r="E5" s="179" t="s">
        <v>49</v>
      </c>
    </row>
    <row r="6" spans="2:11" ht="13.2" customHeight="1" x14ac:dyDescent="0.25">
      <c r="B6" s="231" t="s">
        <v>155</v>
      </c>
      <c r="C6" s="232"/>
      <c r="D6" s="178" t="s">
        <v>61</v>
      </c>
      <c r="E6" s="178" t="s">
        <v>62</v>
      </c>
    </row>
    <row r="7" spans="2:11" x14ac:dyDescent="0.25">
      <c r="B7" s="233"/>
      <c r="C7" s="234"/>
      <c r="D7" s="178" t="s">
        <v>63</v>
      </c>
      <c r="E7" s="178" t="s">
        <v>64</v>
      </c>
    </row>
    <row r="8" spans="2:11" x14ac:dyDescent="0.25">
      <c r="B8" s="233"/>
      <c r="C8" s="234"/>
      <c r="D8" s="178" t="s">
        <v>65</v>
      </c>
      <c r="E8" s="178" t="s">
        <v>66</v>
      </c>
    </row>
    <row r="9" spans="2:11" x14ac:dyDescent="0.25">
      <c r="B9" s="233"/>
      <c r="C9" s="234"/>
      <c r="D9" s="178" t="s">
        <v>67</v>
      </c>
      <c r="E9" s="178" t="s">
        <v>68</v>
      </c>
    </row>
    <row r="10" spans="2:11" x14ac:dyDescent="0.25">
      <c r="B10" s="233"/>
      <c r="C10" s="234"/>
      <c r="D10" s="178" t="s">
        <v>69</v>
      </c>
      <c r="E10" s="178" t="s">
        <v>57</v>
      </c>
    </row>
    <row r="11" spans="2:11" x14ac:dyDescent="0.25">
      <c r="B11" s="233"/>
      <c r="C11" s="234"/>
      <c r="D11" s="178" t="s">
        <v>70</v>
      </c>
      <c r="E11" s="178" t="s">
        <v>71</v>
      </c>
    </row>
    <row r="12" spans="2:11" x14ac:dyDescent="0.25">
      <c r="B12" s="233"/>
      <c r="C12" s="234"/>
      <c r="D12" s="178" t="s">
        <v>72</v>
      </c>
      <c r="E12" s="178" t="s">
        <v>73</v>
      </c>
    </row>
    <row r="13" spans="2:11" x14ac:dyDescent="0.25">
      <c r="B13" s="233"/>
      <c r="C13" s="234"/>
      <c r="D13" s="178" t="s">
        <v>74</v>
      </c>
      <c r="E13" s="178" t="s">
        <v>75</v>
      </c>
    </row>
    <row r="14" spans="2:11" x14ac:dyDescent="0.25">
      <c r="B14" s="233"/>
      <c r="C14" s="234"/>
      <c r="D14" s="178" t="s">
        <v>76</v>
      </c>
      <c r="E14" s="178" t="s">
        <v>77</v>
      </c>
    </row>
    <row r="15" spans="2:11" x14ac:dyDescent="0.25">
      <c r="B15" s="233"/>
      <c r="C15" s="234"/>
      <c r="D15" s="178" t="s">
        <v>78</v>
      </c>
      <c r="E15" s="178" t="s">
        <v>79</v>
      </c>
    </row>
    <row r="16" spans="2:11" x14ac:dyDescent="0.25">
      <c r="B16" s="233"/>
      <c r="C16" s="234"/>
      <c r="D16" s="178" t="s">
        <v>80</v>
      </c>
      <c r="E16" s="178" t="s">
        <v>81</v>
      </c>
    </row>
    <row r="17" spans="2:5" x14ac:dyDescent="0.25">
      <c r="B17" s="233"/>
      <c r="C17" s="234"/>
      <c r="D17" s="178" t="s">
        <v>82</v>
      </c>
      <c r="E17" s="178" t="s">
        <v>83</v>
      </c>
    </row>
    <row r="18" spans="2:5" x14ac:dyDescent="0.25">
      <c r="B18" s="233"/>
      <c r="C18" s="234"/>
      <c r="D18" s="178" t="s">
        <v>84</v>
      </c>
      <c r="E18" s="178" t="s">
        <v>85</v>
      </c>
    </row>
    <row r="19" spans="2:5" x14ac:dyDescent="0.25">
      <c r="B19" s="233"/>
      <c r="C19" s="234"/>
      <c r="D19" s="178" t="s">
        <v>86</v>
      </c>
      <c r="E19" s="178" t="s">
        <v>87</v>
      </c>
    </row>
    <row r="20" spans="2:5" x14ac:dyDescent="0.25">
      <c r="B20" s="233"/>
      <c r="C20" s="234"/>
      <c r="D20" s="178" t="s">
        <v>88</v>
      </c>
      <c r="E20" s="178" t="s">
        <v>89</v>
      </c>
    </row>
    <row r="21" spans="2:5" x14ac:dyDescent="0.25">
      <c r="B21" s="233"/>
      <c r="C21" s="234"/>
      <c r="D21" s="178" t="s">
        <v>90</v>
      </c>
      <c r="E21" s="178" t="s">
        <v>91</v>
      </c>
    </row>
    <row r="22" spans="2:5" x14ac:dyDescent="0.25">
      <c r="B22" s="233"/>
      <c r="C22" s="234"/>
      <c r="D22" s="178" t="s">
        <v>92</v>
      </c>
      <c r="E22" s="178" t="s">
        <v>93</v>
      </c>
    </row>
    <row r="23" spans="2:5" x14ac:dyDescent="0.25">
      <c r="B23" s="233"/>
      <c r="C23" s="234"/>
      <c r="D23" s="178" t="s">
        <v>94</v>
      </c>
      <c r="E23" s="178" t="s">
        <v>95</v>
      </c>
    </row>
    <row r="24" spans="2:5" x14ac:dyDescent="0.25">
      <c r="B24" s="233"/>
      <c r="C24" s="234"/>
      <c r="D24" s="178" t="s">
        <v>96</v>
      </c>
      <c r="E24" s="178" t="s">
        <v>97</v>
      </c>
    </row>
    <row r="25" spans="2:5" x14ac:dyDescent="0.25">
      <c r="B25" s="233"/>
      <c r="C25" s="234"/>
      <c r="D25" s="178" t="s">
        <v>98</v>
      </c>
      <c r="E25" s="178" t="s">
        <v>99</v>
      </c>
    </row>
    <row r="26" spans="2:5" x14ac:dyDescent="0.25">
      <c r="B26" s="233"/>
      <c r="C26" s="234"/>
      <c r="D26" s="178" t="s">
        <v>100</v>
      </c>
      <c r="E26" s="178" t="s">
        <v>101</v>
      </c>
    </row>
    <row r="27" spans="2:5" x14ac:dyDescent="0.25">
      <c r="B27" s="233"/>
      <c r="C27" s="234"/>
      <c r="D27" s="178" t="s">
        <v>102</v>
      </c>
      <c r="E27" s="178" t="s">
        <v>103</v>
      </c>
    </row>
    <row r="28" spans="2:5" x14ac:dyDescent="0.25">
      <c r="B28" s="233"/>
      <c r="C28" s="234"/>
      <c r="D28" s="178" t="s">
        <v>104</v>
      </c>
      <c r="E28" s="178" t="s">
        <v>105</v>
      </c>
    </row>
    <row r="29" spans="2:5" x14ac:dyDescent="0.25">
      <c r="B29" s="233"/>
      <c r="C29" s="234"/>
      <c r="D29" s="178" t="s">
        <v>50</v>
      </c>
      <c r="E29" s="178" t="s">
        <v>51</v>
      </c>
    </row>
    <row r="30" spans="2:5" x14ac:dyDescent="0.25">
      <c r="B30" s="233"/>
      <c r="C30" s="234"/>
      <c r="D30" s="178" t="s">
        <v>106</v>
      </c>
      <c r="E30" s="178" t="s">
        <v>107</v>
      </c>
    </row>
    <row r="31" spans="2:5" x14ac:dyDescent="0.25">
      <c r="B31" s="233"/>
      <c r="C31" s="234"/>
      <c r="D31" s="178" t="s">
        <v>108</v>
      </c>
      <c r="E31" s="178" t="s">
        <v>109</v>
      </c>
    </row>
    <row r="32" spans="2:5" x14ac:dyDescent="0.25">
      <c r="B32" s="233"/>
      <c r="C32" s="234"/>
      <c r="D32" s="178" t="s">
        <v>110</v>
      </c>
      <c r="E32" s="178" t="s">
        <v>52</v>
      </c>
    </row>
    <row r="33" spans="2:5" x14ac:dyDescent="0.25">
      <c r="B33" s="233"/>
      <c r="C33" s="234"/>
      <c r="D33" s="178" t="s">
        <v>111</v>
      </c>
      <c r="E33" s="178" t="s">
        <v>112</v>
      </c>
    </row>
    <row r="34" spans="2:5" x14ac:dyDescent="0.25">
      <c r="B34" s="233"/>
      <c r="C34" s="234"/>
      <c r="D34" s="178" t="s">
        <v>113</v>
      </c>
      <c r="E34" s="178" t="s">
        <v>114</v>
      </c>
    </row>
    <row r="35" spans="2:5" x14ac:dyDescent="0.25">
      <c r="B35" s="233"/>
      <c r="C35" s="234"/>
      <c r="D35" s="178" t="s">
        <v>117</v>
      </c>
      <c r="E35" s="178" t="s">
        <v>118</v>
      </c>
    </row>
    <row r="36" spans="2:5" x14ac:dyDescent="0.25">
      <c r="B36" s="233"/>
      <c r="C36" s="234"/>
      <c r="D36" s="178" t="s">
        <v>119</v>
      </c>
      <c r="E36" s="178" t="s">
        <v>120</v>
      </c>
    </row>
    <row r="37" spans="2:5" x14ac:dyDescent="0.25">
      <c r="B37" s="233"/>
      <c r="C37" s="234"/>
      <c r="D37" s="178" t="s">
        <v>121</v>
      </c>
      <c r="E37" s="178" t="s">
        <v>122</v>
      </c>
    </row>
    <row r="38" spans="2:5" x14ac:dyDescent="0.25">
      <c r="B38" s="233"/>
      <c r="C38" s="234"/>
      <c r="D38" s="178" t="s">
        <v>123</v>
      </c>
      <c r="E38" s="178" t="s">
        <v>124</v>
      </c>
    </row>
    <row r="39" spans="2:5" x14ac:dyDescent="0.25">
      <c r="B39" s="233"/>
      <c r="C39" s="234"/>
      <c r="D39" s="178" t="s">
        <v>125</v>
      </c>
      <c r="E39" s="178" t="s">
        <v>126</v>
      </c>
    </row>
    <row r="40" spans="2:5" x14ac:dyDescent="0.25">
      <c r="B40" s="233"/>
      <c r="C40" s="234"/>
      <c r="D40" s="178" t="s">
        <v>53</v>
      </c>
      <c r="E40" s="178" t="s">
        <v>127</v>
      </c>
    </row>
    <row r="41" spans="2:5" x14ac:dyDescent="0.25">
      <c r="B41" s="233"/>
      <c r="C41" s="234"/>
      <c r="D41" s="178" t="s">
        <v>128</v>
      </c>
      <c r="E41" s="178" t="s">
        <v>129</v>
      </c>
    </row>
    <row r="42" spans="2:5" x14ac:dyDescent="0.25">
      <c r="B42" s="233"/>
      <c r="C42" s="234"/>
      <c r="D42" s="178" t="s">
        <v>130</v>
      </c>
      <c r="E42" s="178" t="s">
        <v>131</v>
      </c>
    </row>
    <row r="43" spans="2:5" x14ac:dyDescent="0.25">
      <c r="B43" s="233"/>
      <c r="C43" s="234"/>
      <c r="D43" s="178" t="s">
        <v>132</v>
      </c>
      <c r="E43" s="178" t="s">
        <v>133</v>
      </c>
    </row>
    <row r="44" spans="2:5" x14ac:dyDescent="0.25">
      <c r="B44" s="233"/>
      <c r="C44" s="234"/>
      <c r="D44" s="178" t="s">
        <v>134</v>
      </c>
      <c r="E44" s="178" t="s">
        <v>135</v>
      </c>
    </row>
    <row r="45" spans="2:5" x14ac:dyDescent="0.25">
      <c r="B45" s="233"/>
      <c r="C45" s="234"/>
      <c r="D45" s="178" t="s">
        <v>54</v>
      </c>
      <c r="E45" s="178" t="s">
        <v>55</v>
      </c>
    </row>
    <row r="46" spans="2:5" x14ac:dyDescent="0.25">
      <c r="B46" s="233"/>
      <c r="C46" s="234"/>
      <c r="D46" s="178" t="s">
        <v>136</v>
      </c>
      <c r="E46" s="178" t="s">
        <v>137</v>
      </c>
    </row>
    <row r="47" spans="2:5" x14ac:dyDescent="0.25">
      <c r="B47" s="233"/>
      <c r="C47" s="234"/>
      <c r="D47" s="178" t="s">
        <v>138</v>
      </c>
      <c r="E47" s="178" t="s">
        <v>56</v>
      </c>
    </row>
    <row r="48" spans="2:5" x14ac:dyDescent="0.25">
      <c r="B48" s="233"/>
      <c r="C48" s="234"/>
      <c r="D48" s="178" t="s">
        <v>139</v>
      </c>
      <c r="E48" s="178" t="s">
        <v>140</v>
      </c>
    </row>
    <row r="49" spans="2:5" x14ac:dyDescent="0.25">
      <c r="B49" s="233"/>
      <c r="C49" s="234"/>
      <c r="D49" s="178" t="s">
        <v>141</v>
      </c>
      <c r="E49" s="178" t="s">
        <v>142</v>
      </c>
    </row>
    <row r="50" spans="2:5" x14ac:dyDescent="0.25">
      <c r="B50" s="233"/>
      <c r="C50" s="234"/>
      <c r="D50" s="178" t="s">
        <v>145</v>
      </c>
      <c r="E50" s="178" t="s">
        <v>146</v>
      </c>
    </row>
    <row r="51" spans="2:5" x14ac:dyDescent="0.25">
      <c r="B51" s="233"/>
      <c r="C51" s="234"/>
      <c r="D51" s="178" t="s">
        <v>147</v>
      </c>
      <c r="E51" s="178" t="s">
        <v>148</v>
      </c>
    </row>
    <row r="52" spans="2:5" x14ac:dyDescent="0.25">
      <c r="B52" s="233"/>
      <c r="C52" s="234"/>
      <c r="D52" s="178" t="s">
        <v>149</v>
      </c>
      <c r="E52" s="178" t="s">
        <v>150</v>
      </c>
    </row>
    <row r="53" spans="2:5" ht="13.2" customHeight="1" x14ac:dyDescent="0.25">
      <c r="B53" s="235"/>
      <c r="C53" s="236"/>
      <c r="D53" s="178" t="s">
        <v>58</v>
      </c>
      <c r="E53" s="178" t="s">
        <v>59</v>
      </c>
    </row>
    <row r="54" spans="2:5" x14ac:dyDescent="0.25">
      <c r="B54" s="237" t="s">
        <v>152</v>
      </c>
      <c r="C54" s="238"/>
      <c r="D54" s="183" t="s">
        <v>115</v>
      </c>
      <c r="E54" s="183" t="s">
        <v>116</v>
      </c>
    </row>
    <row r="55" spans="2:5" x14ac:dyDescent="0.25">
      <c r="B55" s="239" t="s">
        <v>153</v>
      </c>
      <c r="C55" s="239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D32" sqref="D32"/>
    </sheetView>
  </sheetViews>
  <sheetFormatPr defaultRowHeight="13.2" x14ac:dyDescent="0.25"/>
  <cols>
    <col min="1" max="1" width="48" customWidth="1"/>
    <col min="3" max="3" width="21.109375" customWidth="1"/>
    <col min="4" max="4" width="22.33203125" customWidth="1"/>
    <col min="5" max="5" width="14.44140625" customWidth="1"/>
    <col min="7" max="7" width="10.44140625" customWidth="1"/>
  </cols>
  <sheetData>
    <row r="1" spans="1:8" ht="21.6" thickBot="1" x14ac:dyDescent="0.3">
      <c r="A1" s="256" t="s">
        <v>16</v>
      </c>
      <c r="B1" s="257"/>
      <c r="C1" s="257"/>
      <c r="D1" s="258"/>
      <c r="E1" s="59">
        <v>5000</v>
      </c>
      <c r="F1" s="60" t="s">
        <v>12</v>
      </c>
      <c r="G1" s="60" t="s">
        <v>11</v>
      </c>
    </row>
    <row r="2" spans="1:8" x14ac:dyDescent="0.25">
      <c r="A2" s="61"/>
      <c r="B2" s="4"/>
      <c r="C2" s="61"/>
      <c r="D2" s="4"/>
      <c r="E2" s="62"/>
      <c r="F2" s="63"/>
      <c r="G2" s="34"/>
      <c r="H2" s="4"/>
    </row>
    <row r="3" spans="1:8" x14ac:dyDescent="0.25">
      <c r="A3" s="251" t="s">
        <v>44</v>
      </c>
      <c r="B3" s="252">
        <v>0</v>
      </c>
      <c r="C3" s="252">
        <v>0</v>
      </c>
      <c r="D3" s="253">
        <v>0</v>
      </c>
      <c r="E3" s="5"/>
      <c r="F3" s="6"/>
      <c r="G3" s="5"/>
    </row>
    <row r="4" spans="1:8" x14ac:dyDescent="0.25">
      <c r="A4" s="61"/>
      <c r="B4" s="4"/>
      <c r="C4" s="61"/>
      <c r="D4" s="4"/>
      <c r="E4" s="65"/>
      <c r="F4" s="63"/>
      <c r="G4" s="34"/>
      <c r="H4" s="4"/>
    </row>
    <row r="5" spans="1:8" x14ac:dyDescent="0.25">
      <c r="A5" s="251" t="s">
        <v>45</v>
      </c>
      <c r="B5" s="252">
        <v>0</v>
      </c>
      <c r="C5" s="252">
        <v>0</v>
      </c>
      <c r="D5" s="253">
        <v>0</v>
      </c>
      <c r="E5" s="5"/>
      <c r="F5" s="6"/>
      <c r="G5" s="6"/>
    </row>
    <row r="6" spans="1:8" x14ac:dyDescent="0.25">
      <c r="A6" s="61"/>
      <c r="B6" s="4"/>
      <c r="C6" s="61"/>
      <c r="D6" s="4"/>
      <c r="E6" s="66"/>
      <c r="F6" s="63"/>
      <c r="G6" s="34"/>
      <c r="H6" s="4"/>
    </row>
    <row r="7" spans="1:8" x14ac:dyDescent="0.25">
      <c r="A7" s="251" t="s">
        <v>46</v>
      </c>
      <c r="B7" s="252">
        <v>0</v>
      </c>
      <c r="C7" s="252">
        <v>0</v>
      </c>
      <c r="D7" s="253">
        <v>0</v>
      </c>
      <c r="E7" s="5"/>
      <c r="F7" s="6"/>
      <c r="G7" s="6"/>
    </row>
    <row r="8" spans="1:8" x14ac:dyDescent="0.25">
      <c r="A8" s="61"/>
      <c r="B8" s="4"/>
      <c r="C8" s="61"/>
      <c r="D8" s="4"/>
      <c r="E8" s="65"/>
      <c r="F8" s="63"/>
      <c r="G8" s="34"/>
      <c r="H8" s="4"/>
    </row>
    <row r="9" spans="1:8" x14ac:dyDescent="0.25">
      <c r="A9" s="251" t="s">
        <v>158</v>
      </c>
      <c r="B9" s="252"/>
      <c r="C9" s="252"/>
      <c r="D9" s="253"/>
      <c r="E9" s="67"/>
      <c r="F9" s="6"/>
      <c r="G9" s="6"/>
    </row>
    <row r="10" spans="1:8" x14ac:dyDescent="0.25">
      <c r="A10" s="68"/>
      <c r="B10" s="7"/>
      <c r="C10" s="68"/>
      <c r="D10" s="69"/>
      <c r="E10" s="38"/>
      <c r="F10" s="63"/>
      <c r="G10" s="70"/>
      <c r="H10" s="7"/>
    </row>
    <row r="11" spans="1:8" x14ac:dyDescent="0.25">
      <c r="A11" s="68"/>
      <c r="B11" s="7"/>
      <c r="C11" s="68"/>
      <c r="D11" s="71"/>
      <c r="E11" s="38"/>
      <c r="F11" s="63"/>
      <c r="G11" s="70"/>
      <c r="H11" s="7"/>
    </row>
    <row r="12" spans="1:8" x14ac:dyDescent="0.25">
      <c r="A12" s="251" t="s">
        <v>157</v>
      </c>
      <c r="B12" s="252">
        <v>0</v>
      </c>
      <c r="C12" s="252">
        <v>0</v>
      </c>
      <c r="D12" s="253">
        <v>0</v>
      </c>
      <c r="E12" s="8"/>
      <c r="F12" s="8"/>
      <c r="G12" s="9"/>
      <c r="H12" s="7"/>
    </row>
    <row r="13" spans="1:8" x14ac:dyDescent="0.25">
      <c r="A13" s="41"/>
      <c r="B13" s="41"/>
      <c r="C13" s="41"/>
      <c r="D13" s="41"/>
      <c r="E13" s="72"/>
      <c r="F13" s="73"/>
      <c r="G13" s="74"/>
      <c r="H13" s="7"/>
    </row>
    <row r="14" spans="1:8" x14ac:dyDescent="0.25">
      <c r="A14" s="251" t="s">
        <v>47</v>
      </c>
      <c r="B14" s="252">
        <v>0</v>
      </c>
      <c r="C14" s="252">
        <v>0</v>
      </c>
      <c r="D14" s="253">
        <v>0</v>
      </c>
      <c r="E14" s="57"/>
      <c r="F14" s="58"/>
      <c r="G14" s="9"/>
      <c r="H14" s="7"/>
    </row>
    <row r="15" spans="1:8" x14ac:dyDescent="0.25">
      <c r="A15" s="64"/>
      <c r="B15" s="64"/>
      <c r="C15" s="64"/>
      <c r="D15" s="64"/>
      <c r="E15" s="75"/>
      <c r="F15" s="73"/>
      <c r="G15" s="74"/>
      <c r="H15" s="7"/>
    </row>
    <row r="16" spans="1:8" x14ac:dyDescent="0.25">
      <c r="A16" s="251" t="s">
        <v>156</v>
      </c>
      <c r="B16" s="252">
        <v>0</v>
      </c>
      <c r="C16" s="252">
        <v>0</v>
      </c>
      <c r="D16" s="253">
        <v>0</v>
      </c>
      <c r="E16" s="13"/>
      <c r="F16" s="6"/>
      <c r="G16" s="6"/>
      <c r="H16" s="7"/>
    </row>
    <row r="17" spans="1:8" x14ac:dyDescent="0.25">
      <c r="A17" s="41"/>
      <c r="B17" s="41"/>
      <c r="C17" s="41"/>
      <c r="D17" s="41"/>
      <c r="E17" s="65"/>
      <c r="F17" s="73"/>
      <c r="G17" s="74"/>
      <c r="H17" s="7"/>
    </row>
    <row r="18" spans="1:8" x14ac:dyDescent="0.25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0.6" x14ac:dyDescent="0.25">
      <c r="A19" s="254" t="s">
        <v>8</v>
      </c>
      <c r="B19" s="25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5">
      <c r="A20" s="241" t="s">
        <v>20</v>
      </c>
      <c r="B20" s="242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5">
      <c r="A21" s="241" t="s">
        <v>9</v>
      </c>
      <c r="B21" s="242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5">
      <c r="A22" s="241" t="s">
        <v>18</v>
      </c>
      <c r="B22" s="242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5">
      <c r="A23" s="241" t="s">
        <v>19</v>
      </c>
      <c r="B23" s="242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5">
      <c r="A24" s="61"/>
      <c r="B24" s="41"/>
      <c r="C24" s="61"/>
      <c r="D24" s="79"/>
      <c r="E24" s="4"/>
      <c r="F24" s="34"/>
      <c r="G24" s="63"/>
      <c r="H24" s="4"/>
    </row>
    <row r="25" spans="1:8" ht="13.8" thickBot="1" x14ac:dyDescent="0.3">
      <c r="A25" s="80"/>
      <c r="B25" s="41"/>
      <c r="C25" s="80"/>
      <c r="D25" s="81"/>
      <c r="E25" s="82"/>
      <c r="F25" s="74"/>
      <c r="G25" s="73"/>
      <c r="H25" s="7"/>
    </row>
    <row r="26" spans="1:8" ht="18" thickBot="1" x14ac:dyDescent="0.3">
      <c r="A26" s="244" t="s">
        <v>30</v>
      </c>
      <c r="B26" s="245"/>
      <c r="C26" s="245"/>
      <c r="D26" s="245"/>
      <c r="E26" s="245"/>
      <c r="F26" s="245"/>
      <c r="G26" s="246"/>
    </row>
    <row r="27" spans="1:8" ht="41.4" thickBot="1" x14ac:dyDescent="0.3">
      <c r="A27" s="247" t="s">
        <v>2</v>
      </c>
      <c r="B27" s="248"/>
      <c r="C27" s="83" t="s">
        <v>4</v>
      </c>
      <c r="D27" s="83" t="s">
        <v>17</v>
      </c>
      <c r="E27" s="83" t="s">
        <v>5</v>
      </c>
      <c r="F27" s="249" t="s">
        <v>3</v>
      </c>
      <c r="G27" s="250"/>
    </row>
    <row r="28" spans="1:8" x14ac:dyDescent="0.25">
      <c r="A28" s="4"/>
      <c r="B28" s="4"/>
      <c r="C28" s="4"/>
      <c r="D28" s="4"/>
      <c r="E28" s="4"/>
      <c r="F28" s="34"/>
      <c r="G28" s="63"/>
    </row>
    <row r="29" spans="1:8" x14ac:dyDescent="0.25">
      <c r="A29" s="4" t="s">
        <v>6</v>
      </c>
      <c r="B29" s="84"/>
      <c r="C29" s="85"/>
      <c r="D29" s="243"/>
      <c r="E29" s="243"/>
      <c r="F29" s="243"/>
      <c r="G29" s="63"/>
    </row>
    <row r="30" spans="1:8" x14ac:dyDescent="0.25">
      <c r="A30" s="4" t="s">
        <v>7</v>
      </c>
      <c r="B30" s="86"/>
      <c r="C30" s="4"/>
      <c r="D30" s="26"/>
      <c r="E30" s="27"/>
      <c r="F30" s="87"/>
      <c r="G30" s="63"/>
    </row>
    <row r="32" spans="1:8" x14ac:dyDescent="0.25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3"/>
  <dimension ref="A1:P4"/>
  <sheetViews>
    <sheetView zoomScale="85" zoomScaleNormal="85" workbookViewId="0">
      <selection activeCell="C15" sqref="C15"/>
    </sheetView>
  </sheetViews>
  <sheetFormatPr defaultColWidth="9.109375" defaultRowHeight="13.2" x14ac:dyDescent="0.25"/>
  <cols>
    <col min="1" max="1" width="31" style="116" customWidth="1"/>
    <col min="2" max="2" width="11.44140625" style="116" customWidth="1"/>
    <col min="3" max="4" width="9.109375" style="116"/>
    <col min="5" max="5" width="17.33203125" style="116" customWidth="1"/>
    <col min="6" max="6" width="16.88671875" style="116" customWidth="1"/>
    <col min="7" max="7" width="22.33203125" style="116" customWidth="1"/>
    <col min="8" max="8" width="17.5546875" style="116" customWidth="1"/>
    <col min="9" max="9" width="9.109375" style="116" customWidth="1"/>
    <col min="10" max="10" width="15.5546875" style="116" bestFit="1" customWidth="1"/>
    <col min="11" max="11" width="9.109375" style="116" customWidth="1"/>
    <col min="12" max="15" width="17.5546875" style="116" customWidth="1"/>
    <col min="16" max="16384" width="9.109375" style="116"/>
  </cols>
  <sheetData>
    <row r="1" spans="1:16" x14ac:dyDescent="0.25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5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5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5">
      <c r="A4" s="151" t="s">
        <v>160</v>
      </c>
      <c r="B4" s="121">
        <v>89285.71</v>
      </c>
      <c r="C4" s="151">
        <v>36</v>
      </c>
      <c r="D4" s="152">
        <v>1E-4</v>
      </c>
      <c r="E4" s="152">
        <v>0</v>
      </c>
      <c r="F4" s="152">
        <v>5.9900000000000002E-2</v>
      </c>
      <c r="G4" s="151" t="str">
        <f>I$2&amp;" "&amp;B4&amp;" "&amp;H$2</f>
        <v>max. 89285,71 грн.</v>
      </c>
      <c r="H4" s="184">
        <f>B4+B4*K4</f>
        <v>99999.995200000005</v>
      </c>
      <c r="I4" s="151">
        <v>15</v>
      </c>
      <c r="K4" s="185">
        <v>0.12</v>
      </c>
      <c r="L4" s="153">
        <f t="shared" ref="L4" si="0">D4/12/(1-1/POWER(1+D4/12,C4))*H4+H4*F4</f>
        <v>8768.2056184472385</v>
      </c>
      <c r="M4" s="154">
        <f>F4</f>
        <v>5.9900000000000002E-2</v>
      </c>
      <c r="N4" s="154"/>
      <c r="O4" s="155">
        <v>0</v>
      </c>
      <c r="P4" s="151">
        <v>892.85699999999997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 Ідея_0-15-36</vt:lpstr>
      <vt:lpstr>Перелік партнерів</vt:lpstr>
      <vt:lpstr>Назви</vt:lpstr>
      <vt:lpstr>Лист2</vt:lpstr>
      <vt:lpstr>'NST Ідея_0-15-36'!Область_друку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Мєєрзон Денис</cp:lastModifiedBy>
  <cp:lastPrinted>2013-06-13T14:54:01Z</cp:lastPrinted>
  <dcterms:created xsi:type="dcterms:W3CDTF">2008-03-13T06:51:50Z</dcterms:created>
  <dcterms:modified xsi:type="dcterms:W3CDTF">2025-02-28T09:47:58Z</dcterms:modified>
</cp:coreProperties>
</file>