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Лист1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H8" i="1"/>
  <c r="AK10" i="1"/>
  <c r="AK9" i="1"/>
  <c r="C9" i="1" s="1"/>
  <c r="AH10" i="1"/>
  <c r="AH9" i="1"/>
  <c r="AE10" i="1"/>
  <c r="AE9" i="1"/>
  <c r="AE8" i="1"/>
  <c r="C10" i="1" l="1"/>
  <c r="C23" i="1"/>
  <c r="C19" i="1"/>
  <c r="C18" i="1"/>
  <c r="C8" i="1" l="1"/>
  <c r="AC13" i="1"/>
  <c r="AC14" i="1"/>
  <c r="AC12" i="1"/>
  <c r="AC8" i="1" s="1"/>
  <c r="AC10" i="1" l="1"/>
  <c r="C22" i="1" s="1"/>
  <c r="AC9" i="1"/>
  <c r="C20" i="1"/>
  <c r="J9" i="4" l="1"/>
  <c r="C21" i="1"/>
  <c r="G20" i="1"/>
  <c r="G21" i="1"/>
  <c r="G22" i="1"/>
  <c r="G19" i="1"/>
  <c r="E20" i="1"/>
  <c r="E21" i="1"/>
  <c r="E22" i="1"/>
  <c r="E19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D18" i="1"/>
  <c r="D6" i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D7" i="1" s="1"/>
  <c r="V27" i="1"/>
  <c r="V23" i="1"/>
  <c r="V19" i="1"/>
  <c r="V10" i="1"/>
  <c r="V13" i="1"/>
  <c r="W23" i="1" l="1"/>
  <c r="W17" i="1"/>
  <c r="W18" i="1"/>
  <c r="W21" i="1"/>
  <c r="D19" i="1"/>
  <c r="W24" i="1"/>
  <c r="D23" i="1" s="1"/>
  <c r="W11" i="1"/>
  <c r="D8" i="1" s="1"/>
  <c r="W14" i="1"/>
  <c r="D9" i="1" s="1"/>
  <c r="W29" i="1"/>
  <c r="D11" i="1" l="1"/>
  <c r="F19" i="1"/>
  <c r="F7" i="1"/>
  <c r="H19" i="1"/>
  <c r="H7" i="1"/>
  <c r="H22" i="1"/>
  <c r="D10" i="1"/>
  <c r="H10" i="1"/>
  <c r="F22" i="1"/>
  <c r="F10" i="1"/>
  <c r="D22" i="1"/>
  <c r="F21" i="1"/>
  <c r="F9" i="1"/>
  <c r="H21" i="1"/>
  <c r="H9" i="1"/>
  <c r="D21" i="1"/>
  <c r="D20" i="1"/>
  <c r="H20" i="1"/>
  <c r="F20" i="1"/>
  <c r="F8" i="1"/>
  <c r="H8" i="1"/>
  <c r="J11" i="4" l="1"/>
  <c r="J14" i="4" s="1"/>
  <c r="J22" i="4" s="1"/>
  <c r="J18" i="4" l="1"/>
</calcChain>
</file>

<file path=xl/sharedStrings.xml><?xml version="1.0" encoding="utf-8"?>
<sst xmlns="http://schemas.openxmlformats.org/spreadsheetml/2006/main" count="128" uniqueCount="57">
  <si>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</si>
  <si>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</si>
  <si>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</si>
  <si>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</si>
  <si>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</si>
  <si>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</si>
  <si>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</si>
  <si>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</si>
  <si>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</si>
  <si>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</si>
  <si>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</si>
  <si>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</si>
  <si>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</si>
  <si>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</si>
  <si>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</si>
  <si>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</si>
  <si>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</si>
  <si>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</si>
  <si>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</si>
  <si>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</si>
  <si>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</si>
  <si>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</si>
  <si>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</si>
  <si>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</si>
  <si>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</si>
  <si>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</si>
  <si>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</si>
  <si>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</si>
  <si>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</si>
  <si>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</si>
  <si>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</si>
  <si>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до 100 тис.</t>
  </si>
  <si>
    <t>≥</t>
  </si>
  <si>
    <t>1 міс</t>
  </si>
  <si>
    <t>6 міс</t>
  </si>
  <si>
    <t>9 міс</t>
  </si>
  <si>
    <t>В кінці терміну (Дохідний)</t>
  </si>
  <si>
    <t>Щомісячно (Класичний)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</si>
  <si>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</si>
  <si>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</si>
  <si>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</si>
  <si>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</si>
  <si>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</si>
  <si>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</si>
  <si>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</si>
  <si>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</si>
  <si>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</si>
  <si>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гривня</t>
  </si>
  <si>
    <t>100 днів</t>
  </si>
  <si>
    <t>Термін вкладу (дн.,міс.)</t>
  </si>
  <si>
    <r>
      <t>≥2</t>
    </r>
    <r>
      <rPr>
        <sz val="11"/>
        <color theme="1"/>
        <rFont val="Calibri"/>
        <family val="2"/>
      </rPr>
      <t>00 &lt; 500тис.</t>
    </r>
  </si>
  <si>
    <r>
      <t>≥1</t>
    </r>
    <r>
      <rPr>
        <sz val="11"/>
        <color theme="1"/>
        <rFont val="Calibri"/>
        <family val="2"/>
      </rPr>
      <t>00 &lt; 200тис.</t>
    </r>
  </si>
  <si>
    <t>КАЛЬКУЛЯТОР ПО ДЕПОЗИТУ "ДОХІДНИЙ ПЛЮС ОНЛАЙН"</t>
  </si>
  <si>
    <t xml:space="preserve">гривня </t>
  </si>
  <si>
    <t xml:space="preserve">без  поповнення </t>
  </si>
  <si>
    <t>3 рази для термінів 6, 9 місяців</t>
  </si>
  <si>
    <t>інтернет-банкінг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</si>
</sst>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8" fillId="12" borderId="0" xfId="0" applyFont="1" applyFill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12" borderId="0" xfId="0" applyFont="1" applyFill="1"/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4" fillId="12" borderId="0" xfId="0" applyFont="1" applyFill="1" applyAlignment="1">
      <alignment horizontal="center"/>
    </xf>
    <xf numFmtId="0" fontId="15" fillId="12" borderId="0" xfId="0" applyFont="1" applyFill="1"/>
    <xf numFmtId="0" fontId="8" fillId="12" borderId="0" xfId="0" applyFont="1" applyFill="1" applyAlignment="1">
      <alignment horizontal="right" vertical="center"/>
    </xf>
    <xf numFmtId="0" fontId="9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6" fillId="12" borderId="0" xfId="0" applyFont="1" applyFill="1" applyAlignment="1">
      <alignment horizontal="center" vertical="center"/>
    </xf>
    <xf numFmtId="14" fontId="9" fillId="12" borderId="0" xfId="0" applyNumberFormat="1" applyFont="1" applyFill="1" applyAlignment="1" applyProtection="1">
      <alignment horizontal="center" vertical="center"/>
      <protection locked="0"/>
    </xf>
    <xf numFmtId="2" fontId="12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4" fillId="12" borderId="0" xfId="0" applyFont="1" applyFill="1" applyAlignment="1">
      <alignment horizontal="center" vertical="center"/>
    </xf>
    <xf numFmtId="0" fontId="14" fillId="12" borderId="0" xfId="0" applyFont="1" applyFill="1"/>
    <xf numFmtId="0" fontId="20" fillId="12" borderId="0" xfId="0" applyFont="1" applyFill="1" applyAlignment="1">
      <alignment horizontal="left" vertical="center" wrapText="1"/>
    </xf>
    <xf numFmtId="2" fontId="22" fillId="12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15" borderId="1" xfId="1" applyNumberFormat="1" applyFont="1" applyFill="1" applyBorder="1" applyAlignment="1">
      <alignment horizontal="center" vertical="center"/>
    </xf>
    <xf numFmtId="10" fontId="18" fillId="12" borderId="0" xfId="1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/>
    </xf>
    <xf numFmtId="0" fontId="24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 vertical="center"/>
    </xf>
    <xf numFmtId="0" fontId="16" fillId="12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left" vertical="center"/>
    </xf>
    <xf numFmtId="0" fontId="16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7" fillId="10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right"/>
    </xf>
    <xf numFmtId="0" fontId="11" fillId="12" borderId="0" xfId="0" applyFont="1" applyFill="1" applyAlignment="1">
      <alignment horizontal="left" vertical="center"/>
    </xf>
    <xf numFmtId="0" fontId="11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1" fillId="12" borderId="0" xfId="0" applyNumberFormat="1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right" vertical="center"/>
    </xf>
    <xf numFmtId="0" fontId="23" fillId="14" borderId="17" xfId="0" applyFont="1" applyFill="1" applyBorder="1" applyAlignment="1">
      <alignment horizontal="left" vertical="center" wrapText="1"/>
    </xf>
    <xf numFmtId="0" fontId="23" fillId="14" borderId="18" xfId="0" applyFont="1" applyFill="1" applyBorder="1" applyAlignment="1">
      <alignment horizontal="left" vertical="center" wrapText="1"/>
    </xf>
    <xf numFmtId="0" fontId="23" fillId="14" borderId="19" xfId="0" applyFont="1" applyFill="1" applyBorder="1" applyAlignment="1">
      <alignment horizontal="left" vertical="center" wrapText="1"/>
    </xf>
    <xf numFmtId="0" fontId="12" fillId="12" borderId="0" xfId="0" applyFont="1" applyFill="1" applyAlignment="1">
      <alignment horizontal="center"/>
    </xf>
    <xf numFmtId="0" fontId="20" fillId="12" borderId="0" xfId="0" applyFont="1" applyFill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20" fillId="12" borderId="0" xfId="0" applyFont="1" applyFill="1" applyAlignment="1">
      <alignment horizontal="left" vertical="center" wrapText="1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6"/>
  <sheetViews>
    <sheetView tabSelected="1" zoomScale="93" zoomScaleNormal="93" workbookViewId="0">
      <selection activeCell="F24" sqref="F24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10"/>
      <c r="B1" s="56" t="s">
        <v>52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0"/>
      <c r="P1" s="10"/>
      <c r="Q1" s="10"/>
      <c r="R1" s="10"/>
    </row>
    <row r="2" spans="1:18" ht="17.600000000000001" x14ac:dyDescent="0.4">
      <c r="A2" s="10"/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0"/>
      <c r="P2" s="10"/>
      <c r="Q2" s="10"/>
      <c r="R2" s="10"/>
    </row>
    <row r="3" spans="1:18" x14ac:dyDescent="0.4">
      <c r="A3" s="10"/>
      <c r="B3" s="46" t="s">
        <v>18</v>
      </c>
      <c r="C3" s="46"/>
      <c r="D3" s="46"/>
      <c r="E3" s="46"/>
      <c r="F3" s="46"/>
      <c r="G3" s="12"/>
      <c r="H3" s="47" t="s">
        <v>53</v>
      </c>
      <c r="I3" s="47"/>
      <c r="J3" s="47"/>
      <c r="K3" s="47"/>
      <c r="L3" s="47"/>
      <c r="M3" s="47"/>
      <c r="N3" s="47"/>
      <c r="O3" s="10"/>
      <c r="P3" s="10"/>
      <c r="Q3" s="10"/>
      <c r="R3" s="10"/>
    </row>
    <row r="4" spans="1:18" x14ac:dyDescent="0.4">
      <c r="A4" s="10"/>
      <c r="B4" s="46" t="s">
        <v>0</v>
      </c>
      <c r="C4" s="46"/>
      <c r="D4" s="46"/>
      <c r="E4" s="46"/>
      <c r="F4" s="46"/>
      <c r="G4" s="11"/>
      <c r="H4" s="48" t="s">
        <v>38</v>
      </c>
      <c r="I4" s="48"/>
      <c r="J4" s="48"/>
      <c r="K4" s="48"/>
      <c r="L4" s="48"/>
      <c r="M4" s="48"/>
      <c r="N4" s="48"/>
      <c r="O4" s="10"/>
      <c r="P4" s="10"/>
      <c r="Q4" s="10"/>
      <c r="R4" s="10"/>
    </row>
    <row r="5" spans="1:18" x14ac:dyDescent="0.4">
      <c r="A5" s="10"/>
      <c r="B5" s="46" t="s">
        <v>1</v>
      </c>
      <c r="C5" s="46"/>
      <c r="D5" s="46"/>
      <c r="E5" s="46"/>
      <c r="F5" s="46"/>
      <c r="G5" s="11"/>
      <c r="H5" s="49" t="s">
        <v>54</v>
      </c>
      <c r="I5" s="49"/>
      <c r="J5" s="49"/>
      <c r="K5" s="49"/>
      <c r="L5" s="49"/>
      <c r="M5" s="49"/>
      <c r="N5" s="49"/>
      <c r="O5" s="10"/>
      <c r="P5" s="10"/>
      <c r="Q5" s="10"/>
      <c r="R5" s="10"/>
    </row>
    <row r="6" spans="1:18" x14ac:dyDescent="0.4">
      <c r="A6" s="10"/>
      <c r="B6" s="46" t="s">
        <v>3</v>
      </c>
      <c r="C6" s="46"/>
      <c r="D6" s="46"/>
      <c r="E6" s="46"/>
      <c r="F6" s="46"/>
      <c r="G6" s="11"/>
      <c r="H6" s="49">
        <v>1000</v>
      </c>
      <c r="I6" s="49"/>
      <c r="J6" s="49"/>
      <c r="K6" s="49"/>
      <c r="L6" s="49"/>
      <c r="M6" s="49"/>
      <c r="N6" s="49"/>
      <c r="O6" s="10"/>
      <c r="P6" s="10"/>
      <c r="Q6" s="10"/>
      <c r="R6" s="10"/>
    </row>
    <row r="7" spans="1:18" x14ac:dyDescent="0.4">
      <c r="A7" s="10"/>
      <c r="B7" s="46" t="s">
        <v>2</v>
      </c>
      <c r="C7" s="46"/>
      <c r="D7" s="46"/>
      <c r="E7" s="46"/>
      <c r="F7" s="46"/>
      <c r="G7" s="11"/>
      <c r="H7" s="49" t="s">
        <v>55</v>
      </c>
      <c r="I7" s="49"/>
      <c r="J7" s="49"/>
      <c r="K7" s="49"/>
      <c r="L7" s="49"/>
      <c r="M7" s="49"/>
      <c r="N7" s="49"/>
      <c r="O7" s="10"/>
      <c r="P7" s="10"/>
      <c r="Q7" s="27"/>
      <c r="R7" s="10"/>
    </row>
    <row r="8" spans="1:18" ht="18" thickBot="1" x14ac:dyDescent="0.45">
      <c r="A8" s="10"/>
      <c r="B8" s="44" t="s">
        <v>20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0"/>
      <c r="P8" s="10"/>
      <c r="Q8" s="10"/>
      <c r="R8" s="10"/>
    </row>
    <row r="9" spans="1:18" ht="23.25" customHeight="1" thickBot="1" x14ac:dyDescent="0.45">
      <c r="A9" s="10"/>
      <c r="B9" s="75" t="s">
        <v>21</v>
      </c>
      <c r="C9" s="75"/>
      <c r="D9" s="75"/>
      <c r="E9" s="21"/>
      <c r="F9" s="14">
        <v>500000</v>
      </c>
      <c r="G9" s="22"/>
      <c r="H9" s="51" t="s">
        <v>42</v>
      </c>
      <c r="I9" s="52"/>
      <c r="J9" s="53">
        <f>IF(AND($F$17="в кінці терміну",$F$15="ні",$F$13="відділення",$F$11="гривня"),VLOOKUP($F$19,Лист1!$B$6:$R$11,2,0),IF(AND($F$17="в кінці терміну",$F$15="ні",$F$13="відділення",$F$11="долар США"),VLOOKUP($F$19,Лист1!$B$6:$R$11,4,0),IF(AND($F$17="в кінці терміну",$F$15="ні",$F$13="відділення",$F$11="євро"),VLOOKUP($F$19,Лист1!$B$6:$R$11,6,0),IF(AND($F$17="щомісячно",$F$15="ні",$F$13="відділення",$F$11="гривня"),VLOOKUP($F$19,Лист1!$B$6:$R$11,8,0),IF(AND($F$17="щомісячно",$F$15="ні",$F$13="відділення",$F$11="долар США"),VLOOKUP($F$19,Лист1!$B$6:$R$11,10,0),IF(AND($F$17="щомісячно",$F$15="ні",$F$13="відділення",$F$11="євро"),VLOOKUP($F$19,Лист1!$B$6:$R$11,12,0),IF(AND($F$17="в кінці терміну",$F$15="так",$F$13="відділення",$F$11="гривня"),VLOOKUP($F$19,Лист1!$B$6:$R$11,14,0),IF(AND($F$17="щомісячно",$F$15="так",$F$13="відділення",$F$11="гривня"),VLOOKUP($F$19,Лист1!$B$6:$R$11,16,0),IF(AND($F$17="в кінці терміну",$F$15="ні",$F$13="інтернет-банкінг",$F$11="гривня"),VLOOKUP($F$19,Лист1!$B$18:$R$23,2,0),IF(AND($F$17="в кінці терміну",$F$15="ні",$F$13="інтернет-банкінг",$F$11="долар США"),VLOOKUP($F$19,Лист1!$B$18:$R$23,4,0),IF(AND($F$17="в кінці терміну",$F$15="ні",$F$13="інтернет-банкінг",$F$11="євро"),VLOOKUP($F$19,Лист1!$B$18:$R$23,6,0),IF(AND($F$17="щомісячно",$F$15="ні",$F$13="інтернет-банкінг",$F$11="гривня"),VLOOKUP($F$19,Лист1!$B$18:$R$23,8,0),IF(AND($F$17="щомісячно",$F$15="ні",$F$13="інтернет-банкінг",$F$11="долар США"),VLOOKUP($F$19,Лист1!$B$18:$R$23,10,0),IF(AND($F$17="щомісячно",$F$15="ні",$F$13="інтернет-банкінг",$F$11="євро"),VLOOKUP($F$19,Лист1!$B$18:$R$23,12,0),IF(AND($F$17="в кінці терміну",$F$15="так",$F$13="інтернет-банкінг",$F$11="гривня"),VLOOKUP($F$19,Лист1!$B$18:$R$23,14,0),IF(AND($F$17="щомісячно",$F$15="так",$F$13="інтернет-банкінг",$F$11="гривня"),VLOOKUP($F$19,Лист1!$B$18:$R$23,16,0),0))))))))))))))))</f>
        <v>0.17</v>
      </c>
      <c r="K9" s="54"/>
      <c r="L9" s="50"/>
      <c r="M9" s="50"/>
      <c r="N9" s="50"/>
      <c r="O9" s="10"/>
      <c r="P9" s="10"/>
      <c r="Q9" s="10"/>
      <c r="R9" s="10"/>
    </row>
    <row r="10" spans="1:18" ht="5.25" customHeight="1" thickBot="1" x14ac:dyDescent="0.45">
      <c r="A10" s="10"/>
      <c r="B10" s="23"/>
      <c r="C10" s="23"/>
      <c r="D10" s="23"/>
      <c r="E10" s="21"/>
      <c r="F10" s="24"/>
      <c r="G10" s="22"/>
      <c r="H10" s="33"/>
      <c r="I10" s="33"/>
      <c r="J10" s="36"/>
      <c r="K10" s="36"/>
      <c r="L10" s="43"/>
      <c r="M10" s="43"/>
      <c r="N10" s="43"/>
      <c r="O10" s="10"/>
      <c r="P10" s="10"/>
      <c r="Q10" s="10"/>
      <c r="R10" s="10"/>
    </row>
    <row r="11" spans="1:18" ht="15.75" customHeight="1" x14ac:dyDescent="0.4">
      <c r="A11" s="10"/>
      <c r="B11" s="75" t="s">
        <v>18</v>
      </c>
      <c r="C11" s="75"/>
      <c r="D11" s="75"/>
      <c r="E11" s="13"/>
      <c r="F11" s="14" t="s">
        <v>47</v>
      </c>
      <c r="G11" s="15"/>
      <c r="H11" s="58" t="s">
        <v>40</v>
      </c>
      <c r="I11" s="59"/>
      <c r="J11" s="60">
        <f>IF(AND($F$17="в кінці терміну",$F$15="ні",$F$13="відділення",$F$11="гривня"),VLOOKUP($F$19,Лист1!$B$6:$R$11,3,0),IF(AND($F$17="в кінці терміну",$F$15="ні",$F$13="відділення",$F$11="долар США"),VLOOKUP($F$19,Лист1!$B$6:$R$11,5,0),IF(AND($F$17="в кінці терміну",$F$15="ні",$F$13="відділення",$F$11="євро"),VLOOKUP($F$19,Лист1!$B$6:$R$11,7,0),IF(AND($F$17="щомісячно",$F$15="ні",$F$13="відділення",$F$11="гривня"),VLOOKUP($F$19,Лист1!$B$6:$R$11,9,0),IF(AND($F$17="щомісячно",$F$15="ні",$F$13="відділення",$F$11="долар США"),VLOOKUP($F$19,Лист1!$B$6:$R$11,11,0),IF(AND($F$17="щомісячно",$F$15="ні",$F$13="відділення",$F$11="євро"),VLOOKUP($F$19,Лист1!$B$6:$R$11,13,0),IF(AND($F$17="в кінці терміну",$F$15="так",$F$13="відділення",$F$11="гривня"),VLOOKUP($F$19,Лист1!$B$6:$R$11,15,0),IF(AND($F$17="щомісячно",$F$15="так",$F$13="відділення",$F$11="гривня"),VLOOKUP($F$19,Лист1!$B$6:$R$11,17,0),IF(AND($F$17="в кінці терміну",$F$15="ні",$F$13="інтернет-банкінг",$F$11="гривня"),VLOOKUP($F$19,Лист1!$B$18:$R$23,3,0),IF(AND($F$17="в кінці терміну",$F$15="ні",$F$13="інтернет-банкінг",$F$11="долар США"),VLOOKUP($F$19,Лист1!$B$18:$R$23,5,0),IF(AND($F$17="в кінці терміну",$F$15="ні",$F$13="інтернет-банкінг",$F$11="євро"),VLOOKUP($F$19,Лист1!$B$18:$R$23,7,0),IF(AND($F$17="щомісячно",$F$15="ні",$F$13="інтернет-банкінг",$F$11="гривня"),VLOOKUP($F$19,Лист1!$B$18:$R$23,9,0),IF(AND($F$17="щомісячно",$F$15="ні",$F$13="інтернет-банкінг",$F$11="долар США"),VLOOKUP($F$19,Лист1!$B$18:$R$23,11,0),IF(AND($F$17="щомісячно",$F$15="ні",$F$13="інтернет-банкінг",$F$11="євро"),VLOOKUP($F$19,Лист1!$B$18:$R$23,13,0),IF(AND($F$17="в кінці терміну",$F$15="так",$F$13="інтернет-банкінг",$F$11="гривня"),VLOOKUP($F$19,Лист1!$B$18:$R$23,15,0),IF(AND($F$17="щомісячно",$F$15="так",$F$13="ІБ",$F$11="гривня"),VLOOKUP($F$19,Лист1!$B$18:$R$23,17,0),0))))))))))))))))</f>
        <v>84534.246575342462</v>
      </c>
      <c r="K11" s="61"/>
      <c r="L11" s="43"/>
      <c r="M11" s="43"/>
      <c r="N11" s="43"/>
      <c r="O11" s="10"/>
      <c r="P11" s="10"/>
      <c r="Q11" s="10"/>
      <c r="R11" s="10"/>
    </row>
    <row r="12" spans="1:18" ht="5.25" customHeight="1" thickBot="1" x14ac:dyDescent="0.45">
      <c r="A12" s="10"/>
      <c r="B12" s="57"/>
      <c r="C12" s="57"/>
      <c r="D12" s="57"/>
      <c r="E12" s="17"/>
      <c r="F12" s="18"/>
      <c r="G12" s="15"/>
      <c r="H12" s="58"/>
      <c r="I12" s="59"/>
      <c r="J12" s="62"/>
      <c r="K12" s="63"/>
      <c r="L12" s="16"/>
      <c r="M12" s="16"/>
      <c r="N12" s="16"/>
      <c r="O12" s="10"/>
      <c r="P12" s="10"/>
      <c r="Q12" s="10"/>
      <c r="R12" s="10"/>
    </row>
    <row r="13" spans="1:18" ht="15.45" thickBot="1" x14ac:dyDescent="0.45">
      <c r="A13" s="10"/>
      <c r="B13" s="75" t="s">
        <v>39</v>
      </c>
      <c r="C13" s="75"/>
      <c r="D13" s="75"/>
      <c r="E13" s="13"/>
      <c r="F13" s="14" t="s">
        <v>56</v>
      </c>
      <c r="G13" s="15"/>
      <c r="H13" s="19"/>
      <c r="I13" s="19"/>
      <c r="J13" s="37"/>
      <c r="K13" s="37"/>
      <c r="L13" s="16"/>
      <c r="M13" s="16"/>
      <c r="N13" s="16"/>
      <c r="O13" s="10"/>
      <c r="P13" s="10"/>
      <c r="Q13" s="10"/>
      <c r="R13" s="10"/>
    </row>
    <row r="14" spans="1:18" ht="6" customHeight="1" x14ac:dyDescent="0.4">
      <c r="A14" s="10"/>
      <c r="B14" s="57"/>
      <c r="C14" s="57"/>
      <c r="D14" s="57"/>
      <c r="E14" s="17"/>
      <c r="F14" s="18"/>
      <c r="G14" s="15"/>
      <c r="H14" s="64" t="s">
        <v>41</v>
      </c>
      <c r="I14" s="65"/>
      <c r="J14" s="66">
        <f>J11-(J11*23%)</f>
        <v>65091.369863013693</v>
      </c>
      <c r="K14" s="67"/>
      <c r="L14" s="72"/>
      <c r="M14" s="73"/>
      <c r="N14" s="73"/>
      <c r="O14" s="10"/>
      <c r="P14" s="10"/>
      <c r="Q14" s="10"/>
      <c r="R14" s="10"/>
    </row>
    <row r="15" spans="1:18" ht="14.25" customHeight="1" x14ac:dyDescent="0.4">
      <c r="A15" s="10"/>
      <c r="B15" s="75" t="s">
        <v>15</v>
      </c>
      <c r="C15" s="75"/>
      <c r="D15" s="75"/>
      <c r="E15" s="13"/>
      <c r="F15" s="14" t="s">
        <v>25</v>
      </c>
      <c r="G15" s="15"/>
      <c r="H15" s="64"/>
      <c r="I15" s="65"/>
      <c r="J15" s="68"/>
      <c r="K15" s="69"/>
      <c r="L15" s="73"/>
      <c r="M15" s="73"/>
      <c r="N15" s="73"/>
      <c r="O15" s="10"/>
      <c r="P15" s="10"/>
      <c r="Q15" s="10"/>
      <c r="R15" s="10"/>
    </row>
    <row r="16" spans="1:18" ht="5.25" customHeight="1" thickBot="1" x14ac:dyDescent="0.45">
      <c r="A16" s="10"/>
      <c r="B16" s="57"/>
      <c r="C16" s="57"/>
      <c r="D16" s="57"/>
      <c r="E16" s="17"/>
      <c r="F16" s="18"/>
      <c r="G16" s="15"/>
      <c r="H16" s="64"/>
      <c r="I16" s="65"/>
      <c r="J16" s="70"/>
      <c r="K16" s="71"/>
      <c r="L16" s="73"/>
      <c r="M16" s="73"/>
      <c r="N16" s="73"/>
      <c r="O16" s="10"/>
      <c r="P16" s="10"/>
      <c r="Q16" s="10"/>
      <c r="R16" s="10"/>
    </row>
    <row r="17" spans="1:18" ht="15.45" thickBot="1" x14ac:dyDescent="0.45">
      <c r="A17" s="10"/>
      <c r="B17" s="55" t="s">
        <v>0</v>
      </c>
      <c r="C17" s="55"/>
      <c r="D17" s="55"/>
      <c r="E17" s="13"/>
      <c r="F17" s="14" t="s">
        <v>38</v>
      </c>
      <c r="G17" s="15"/>
      <c r="H17" s="19"/>
      <c r="I17" s="19"/>
      <c r="J17" s="37"/>
      <c r="K17" s="37"/>
      <c r="L17" s="19"/>
      <c r="M17" s="19"/>
      <c r="N17" s="19"/>
      <c r="O17" s="10"/>
      <c r="P17" s="10"/>
      <c r="Q17" s="10"/>
      <c r="R17" s="10"/>
    </row>
    <row r="18" spans="1:18" ht="5.25" customHeight="1" x14ac:dyDescent="0.4">
      <c r="A18" s="10"/>
      <c r="B18" s="57"/>
      <c r="C18" s="57"/>
      <c r="D18" s="57"/>
      <c r="E18" s="17"/>
      <c r="F18" s="18"/>
      <c r="G18" s="15"/>
      <c r="H18" s="64" t="s">
        <v>43</v>
      </c>
      <c r="I18" s="65"/>
      <c r="J18" s="66">
        <f>J11-J14</f>
        <v>19442.876712328769</v>
      </c>
      <c r="K18" s="67"/>
      <c r="L18" s="74"/>
      <c r="M18" s="74"/>
      <c r="N18" s="74"/>
      <c r="O18" s="10"/>
      <c r="P18" s="10"/>
      <c r="Q18" s="10"/>
      <c r="R18" s="10"/>
    </row>
    <row r="19" spans="1:18" x14ac:dyDescent="0.4">
      <c r="A19" s="10"/>
      <c r="B19" s="55" t="s">
        <v>49</v>
      </c>
      <c r="C19" s="55"/>
      <c r="D19" s="55"/>
      <c r="E19" s="13"/>
      <c r="F19" s="14">
        <v>12</v>
      </c>
      <c r="G19" s="15"/>
      <c r="H19" s="64"/>
      <c r="I19" s="65"/>
      <c r="J19" s="68"/>
      <c r="K19" s="69"/>
      <c r="L19" s="74"/>
      <c r="M19" s="74"/>
      <c r="N19" s="74"/>
      <c r="O19" s="10"/>
      <c r="P19" s="10"/>
      <c r="Q19" s="10"/>
      <c r="R19" s="10"/>
    </row>
    <row r="20" spans="1:18" ht="5.25" customHeight="1" thickBot="1" x14ac:dyDescent="0.45">
      <c r="A20" s="10"/>
      <c r="B20" s="57"/>
      <c r="C20" s="57"/>
      <c r="D20" s="57"/>
      <c r="E20" s="17"/>
      <c r="F20" s="18"/>
      <c r="G20" s="15"/>
      <c r="H20" s="64"/>
      <c r="I20" s="65"/>
      <c r="J20" s="70"/>
      <c r="K20" s="71"/>
      <c r="L20" s="74"/>
      <c r="M20" s="74"/>
      <c r="N20" s="74"/>
      <c r="O20" s="10"/>
      <c r="P20" s="10"/>
      <c r="Q20" s="10"/>
      <c r="R20" s="10"/>
    </row>
    <row r="21" spans="1:18" ht="15.9" thickBot="1" x14ac:dyDescent="0.45">
      <c r="A21" s="10"/>
      <c r="B21" s="55" t="s">
        <v>14</v>
      </c>
      <c r="C21" s="55"/>
      <c r="D21" s="55"/>
      <c r="E21" s="13"/>
      <c r="F21" s="20">
        <v>45754</v>
      </c>
      <c r="G21" s="15"/>
      <c r="H21" s="79"/>
      <c r="I21" s="79"/>
      <c r="J21" s="38"/>
      <c r="K21" s="38"/>
      <c r="L21" s="16"/>
      <c r="M21" s="16"/>
      <c r="N21" s="16"/>
      <c r="O21" s="10"/>
      <c r="P21" s="10"/>
      <c r="Q21" s="10"/>
      <c r="R21" s="10"/>
    </row>
    <row r="22" spans="1:18" ht="32.25" customHeight="1" thickBot="1" x14ac:dyDescent="0.45">
      <c r="A22" s="10"/>
      <c r="B22" s="32"/>
      <c r="C22" s="32"/>
      <c r="D22" s="32"/>
      <c r="E22" s="13"/>
      <c r="F22" s="34"/>
      <c r="G22" s="15"/>
      <c r="H22" s="80" t="s">
        <v>44</v>
      </c>
      <c r="I22" s="80"/>
      <c r="J22" s="81">
        <f>((J14/F9)/VLOOKUP(F19,Лист1!T6:W30,4,0)*Лист1!W18)</f>
        <v>0.1301827397260274</v>
      </c>
      <c r="K22" s="82"/>
      <c r="L22" s="16"/>
      <c r="M22" s="35"/>
      <c r="N22" s="16"/>
      <c r="O22" s="27"/>
      <c r="P22" s="10"/>
      <c r="Q22" s="10"/>
      <c r="R22" s="10"/>
    </row>
    <row r="23" spans="1:18" ht="15.75" customHeight="1" thickBot="1" x14ac:dyDescent="0.45">
      <c r="A23" s="10"/>
      <c r="B23" s="32"/>
      <c r="C23" s="32"/>
      <c r="D23" s="32"/>
      <c r="E23" s="13"/>
      <c r="F23" s="34"/>
      <c r="G23" s="15"/>
      <c r="H23" s="16"/>
      <c r="I23" s="16"/>
      <c r="J23" s="16"/>
      <c r="K23" s="16"/>
      <c r="L23" s="16"/>
      <c r="M23" s="16"/>
      <c r="N23" s="16"/>
      <c r="O23" s="10"/>
      <c r="P23" s="10"/>
      <c r="Q23" s="10"/>
      <c r="R23" s="10"/>
    </row>
    <row r="24" spans="1:18" ht="31.5" customHeight="1" thickBot="1" x14ac:dyDescent="0.45">
      <c r="A24" s="10"/>
      <c r="B24" s="32"/>
      <c r="C24" s="32"/>
      <c r="D24" s="32"/>
      <c r="E24" s="13"/>
      <c r="F24" s="34"/>
      <c r="G24" s="15"/>
      <c r="H24" s="83" t="s">
        <v>46</v>
      </c>
      <c r="I24" s="83"/>
      <c r="J24" s="84">
        <v>0</v>
      </c>
      <c r="K24" s="85"/>
      <c r="L24" s="16"/>
      <c r="M24" s="16"/>
      <c r="N24" s="16"/>
      <c r="O24" s="10"/>
      <c r="P24" s="10"/>
      <c r="Q24" s="10"/>
      <c r="R24" s="10"/>
    </row>
    <row r="25" spans="1:18" ht="7.5" customHeight="1" thickBot="1" x14ac:dyDescent="0.45">
      <c r="A25" s="10"/>
      <c r="B25" s="32"/>
      <c r="C25" s="32"/>
      <c r="D25" s="32"/>
      <c r="E25" s="13"/>
      <c r="F25" s="34"/>
      <c r="G25" s="15"/>
      <c r="H25" s="39"/>
      <c r="I25" s="39"/>
      <c r="J25" s="40"/>
      <c r="K25" s="40"/>
      <c r="L25" s="16"/>
      <c r="M25" s="16"/>
      <c r="N25" s="16"/>
      <c r="O25" s="10"/>
      <c r="P25" s="10"/>
      <c r="Q25" s="10"/>
      <c r="R25" s="10"/>
    </row>
    <row r="26" spans="1:18" ht="55.5" customHeight="1" thickBot="1" x14ac:dyDescent="0.45">
      <c r="A26" s="10"/>
      <c r="B26" s="76" t="s">
        <v>45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10"/>
      <c r="P26" s="10"/>
      <c r="Q26" s="10"/>
      <c r="R26" s="10"/>
    </row>
    <row r="27" spans="1:18" x14ac:dyDescent="0.4">
      <c r="A27" s="10"/>
      <c r="B27" s="45"/>
      <c r="C27" s="45"/>
      <c r="D27" s="4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P36" s="10"/>
      <c r="Q36" s="10"/>
      <c r="R36" s="10"/>
    </row>
  </sheetData>
  <dataConsolidate>
    <dataRefs count="1">
      <dataRef ref="H13:H14" sheet="Калькулятор"/>
    </dataRefs>
  </dataConsolidate>
  <mergeCells count="44">
    <mergeCell ref="B26:N26"/>
    <mergeCell ref="H21:I21"/>
    <mergeCell ref="H22:I22"/>
    <mergeCell ref="J22:K22"/>
    <mergeCell ref="H24:I24"/>
    <mergeCell ref="J24:K24"/>
    <mergeCell ref="B19:D19"/>
    <mergeCell ref="B9:D9"/>
    <mergeCell ref="B11:D11"/>
    <mergeCell ref="B12:D12"/>
    <mergeCell ref="B13:D13"/>
    <mergeCell ref="B14:D14"/>
    <mergeCell ref="B1:N1"/>
    <mergeCell ref="B20:D20"/>
    <mergeCell ref="B21:D21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18:D18"/>
    <mergeCell ref="L10:N11"/>
    <mergeCell ref="B8:N8"/>
    <mergeCell ref="B27:D27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  <mergeCell ref="B17:D17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"в кінці терміну"</formula1>
    </dataValidation>
    <dataValidation type="list" allowBlank="1" showInputMessage="1" showErrorMessage="1" sqref="F13">
      <formula1>"інтернет-банкінг"</formula1>
    </dataValidation>
    <dataValidation type="whole" allowBlank="1" showInputMessage="1" showErrorMessage="1" sqref="F9">
      <formula1>1000</formula1>
      <formula2>99999999</formula2>
    </dataValidation>
    <dataValidation type="list" allowBlank="1" showInputMessage="1" showErrorMessage="1" sqref="F19">
      <formula1>"6,9,12"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30"/>
  <sheetViews>
    <sheetView topLeftCell="M1" zoomScale="85" zoomScaleNormal="85" workbookViewId="0">
      <selection activeCell="AE16" sqref="AE16"/>
    </sheetView>
  </sheetViews>
  <sheetFormatPr defaultRowHeight="14.6" outlineLevelCol="1" x14ac:dyDescent="0.4"/>
  <cols>
    <col min="1" max="1" width="30.15234375" customWidth="1"/>
    <col min="2" max="2" width="4.3046875" hidden="1" customWidth="1" outlineLevel="1"/>
    <col min="3" max="3" width="11.84375" customWidth="1" collapsed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8" ht="18.75" customHeight="1" x14ac:dyDescent="0.4">
      <c r="A1" s="93" t="s">
        <v>4</v>
      </c>
      <c r="B1" s="100"/>
      <c r="C1" s="97" t="s">
        <v>13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AC1" s="28"/>
      <c r="AD1" s="28"/>
    </row>
    <row r="2" spans="1:38" ht="16.5" customHeight="1" x14ac:dyDescent="0.4">
      <c r="A2" s="93"/>
      <c r="B2" s="101"/>
      <c r="C2" s="90" t="s">
        <v>11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99" t="s">
        <v>16</v>
      </c>
      <c r="P2" s="99"/>
      <c r="Q2" s="99"/>
      <c r="R2" s="99"/>
    </row>
    <row r="3" spans="1:38" ht="16.5" customHeight="1" x14ac:dyDescent="0.4">
      <c r="A3" s="93"/>
      <c r="B3" s="101"/>
      <c r="C3" s="86" t="s">
        <v>36</v>
      </c>
      <c r="D3" s="86"/>
      <c r="E3" s="86"/>
      <c r="F3" s="86"/>
      <c r="G3" s="86"/>
      <c r="H3" s="86"/>
      <c r="I3" s="86" t="s">
        <v>37</v>
      </c>
      <c r="J3" s="86"/>
      <c r="K3" s="86"/>
      <c r="L3" s="86"/>
      <c r="M3" s="86"/>
      <c r="N3" s="86"/>
      <c r="O3" s="86" t="s">
        <v>9</v>
      </c>
      <c r="P3" s="86"/>
      <c r="Q3" s="86" t="s">
        <v>10</v>
      </c>
      <c r="R3" s="86"/>
    </row>
    <row r="4" spans="1:38" ht="18" customHeight="1" x14ac:dyDescent="0.4">
      <c r="A4" s="93"/>
      <c r="B4" s="101"/>
      <c r="C4" s="98" t="s">
        <v>22</v>
      </c>
      <c r="D4" s="98"/>
      <c r="E4" s="87" t="s">
        <v>23</v>
      </c>
      <c r="F4" s="89"/>
      <c r="G4" s="87" t="s">
        <v>24</v>
      </c>
      <c r="H4" s="89"/>
      <c r="I4" s="98" t="s">
        <v>22</v>
      </c>
      <c r="J4" s="98"/>
      <c r="K4" s="87" t="s">
        <v>23</v>
      </c>
      <c r="L4" s="89"/>
      <c r="M4" s="87" t="s">
        <v>24</v>
      </c>
      <c r="N4" s="89"/>
      <c r="O4" s="87" t="s">
        <v>22</v>
      </c>
      <c r="P4" s="88"/>
      <c r="Q4" s="88"/>
      <c r="R4" s="89"/>
    </row>
    <row r="5" spans="1:38" ht="37.5" customHeight="1" x14ac:dyDescent="0.4">
      <c r="A5" s="93"/>
      <c r="B5" s="102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45754</v>
      </c>
      <c r="X5" s="41"/>
    </row>
    <row r="6" spans="1:38" x14ac:dyDescent="0.4">
      <c r="A6" s="2" t="s">
        <v>33</v>
      </c>
      <c r="B6" s="2">
        <v>1</v>
      </c>
      <c r="C6" s="3">
        <v>7.4999999999999997E-2</v>
      </c>
      <c r="D6" s="5">
        <f>Калькулятор!F9*Лист1!C6/365*(V6-2)</f>
        <v>2876.7123287671229</v>
      </c>
      <c r="E6" s="3"/>
      <c r="F6" s="5"/>
      <c r="G6" s="3"/>
      <c r="H6" s="5"/>
      <c r="I6" s="4"/>
      <c r="J6" s="6"/>
      <c r="K6" s="25"/>
      <c r="L6" s="6"/>
      <c r="M6" s="25"/>
      <c r="N6" s="6"/>
      <c r="O6" s="3"/>
      <c r="P6" s="5"/>
      <c r="Q6" s="4"/>
      <c r="R6" s="6"/>
      <c r="T6">
        <v>1</v>
      </c>
      <c r="U6" s="1">
        <f t="shared" ref="U6:U14" si="0">EDATE($U$5,T6)</f>
        <v>45784</v>
      </c>
      <c r="V6">
        <f>U6-U5</f>
        <v>30</v>
      </c>
      <c r="W6">
        <f>V6-V5</f>
        <v>30</v>
      </c>
      <c r="AA6" s="104" t="s">
        <v>31</v>
      </c>
      <c r="AB6" s="104"/>
      <c r="AC6" s="103" t="s">
        <v>32</v>
      </c>
      <c r="AD6" s="103"/>
      <c r="AE6" s="103" t="s">
        <v>51</v>
      </c>
      <c r="AF6" s="103"/>
      <c r="AH6" s="103" t="s">
        <v>50</v>
      </c>
      <c r="AI6" s="103"/>
      <c r="AK6" s="103" t="s">
        <v>28</v>
      </c>
      <c r="AL6" s="103"/>
    </row>
    <row r="7" spans="1:38" x14ac:dyDescent="0.4">
      <c r="A7" s="2" t="s">
        <v>48</v>
      </c>
      <c r="B7" s="2">
        <v>100</v>
      </c>
      <c r="C7" s="3">
        <v>0.1225</v>
      </c>
      <c r="D7" s="5">
        <f>Калькулятор!$F$9*Лист1!C7/365*(W8-2)</f>
        <v>16445.205479452055</v>
      </c>
      <c r="E7" s="3">
        <v>5.0000000000000001E-3</v>
      </c>
      <c r="F7" s="5">
        <f>Калькулятор!$F$9*Лист1!E7/365*(W8-2)</f>
        <v>671.23287671232879</v>
      </c>
      <c r="G7" s="3">
        <v>4.0000000000000001E-3</v>
      </c>
      <c r="H7" s="5">
        <f>Калькулятор!$F$9*Лист1!G7/365*(W8-2)</f>
        <v>536.98630136986299</v>
      </c>
      <c r="I7" s="3"/>
      <c r="J7" s="9"/>
      <c r="K7" s="26"/>
      <c r="L7" s="9"/>
      <c r="M7" s="26"/>
      <c r="N7" s="9"/>
      <c r="O7" s="3"/>
      <c r="P7" s="5"/>
      <c r="Q7" s="3"/>
      <c r="R7" s="9"/>
      <c r="T7">
        <v>2</v>
      </c>
      <c r="U7" s="1">
        <f t="shared" si="0"/>
        <v>45815</v>
      </c>
      <c r="V7">
        <f t="shared" ref="V7:V29" si="1">U7-U6</f>
        <v>31</v>
      </c>
      <c r="AA7" t="s">
        <v>29</v>
      </c>
      <c r="AB7" t="s">
        <v>30</v>
      </c>
      <c r="AC7" t="s">
        <v>29</v>
      </c>
      <c r="AD7" t="s">
        <v>30</v>
      </c>
      <c r="AE7" t="s">
        <v>29</v>
      </c>
      <c r="AF7" t="s">
        <v>30</v>
      </c>
      <c r="AH7" t="s">
        <v>29</v>
      </c>
      <c r="AI7" t="s">
        <v>30</v>
      </c>
      <c r="AK7" t="s">
        <v>29</v>
      </c>
      <c r="AL7" t="s">
        <v>30</v>
      </c>
    </row>
    <row r="8" spans="1:38" x14ac:dyDescent="0.4">
      <c r="A8" s="2" t="s">
        <v>34</v>
      </c>
      <c r="B8" s="2">
        <v>6</v>
      </c>
      <c r="C8" s="42">
        <f>IF(Калькулятор!$F$9&gt;=500000,AK8,IF(Калькулятор!$F$9&gt;=200000,AH8,IF(Калькулятор!$F$9&gt;=100000,AE8,AA8)))</f>
        <v>0.16</v>
      </c>
      <c r="D8" s="5">
        <f>(Калькулятор!$F$9*Лист1!C8/365*(W11-2))</f>
        <v>39671.232876712325</v>
      </c>
      <c r="E8" s="3">
        <v>5.0000000000000001E-3</v>
      </c>
      <c r="F8" s="5">
        <f>Калькулятор!$F$9*Лист1!E8/365*(W11-2)</f>
        <v>1239.7260273972602</v>
      </c>
      <c r="G8" s="3">
        <v>4.0000000000000001E-3</v>
      </c>
      <c r="H8" s="5">
        <f>Калькулятор!$F$9*Лист1!G8/365*(W11-2)</f>
        <v>991.78082191780811</v>
      </c>
      <c r="I8" s="3"/>
      <c r="J8" s="9"/>
      <c r="K8" s="26"/>
      <c r="L8" s="9"/>
      <c r="M8" s="26"/>
      <c r="N8" s="9"/>
      <c r="O8" s="3"/>
      <c r="P8" s="5"/>
      <c r="Q8" s="3"/>
      <c r="R8" s="9"/>
      <c r="T8">
        <v>3</v>
      </c>
      <c r="U8" s="1">
        <f t="shared" si="0"/>
        <v>45845</v>
      </c>
      <c r="V8">
        <f t="shared" si="1"/>
        <v>30</v>
      </c>
      <c r="W8">
        <v>100</v>
      </c>
      <c r="Z8" s="31">
        <v>6</v>
      </c>
      <c r="AA8" s="3">
        <v>0.16</v>
      </c>
      <c r="AB8" s="3"/>
      <c r="AC8" s="30">
        <f>IF(Калькулятор!$F$9&gt;=500000,AE8,AC12)</f>
        <v>0.16</v>
      </c>
      <c r="AD8" s="30"/>
      <c r="AE8" s="30">
        <f>AA8</f>
        <v>0.16</v>
      </c>
      <c r="AF8" s="30"/>
      <c r="AH8" s="30">
        <f>AA8</f>
        <v>0.16</v>
      </c>
      <c r="AI8" s="30"/>
      <c r="AK8" s="30">
        <f>AA8</f>
        <v>0.16</v>
      </c>
      <c r="AL8" s="30"/>
    </row>
    <row r="9" spans="1:38" x14ac:dyDescent="0.4">
      <c r="A9" s="2" t="s">
        <v>35</v>
      </c>
      <c r="B9" s="2">
        <v>9</v>
      </c>
      <c r="C9" s="42">
        <f>IF(Калькулятор!$F$9&gt;=500000,AK9,IF(Калькулятор!$F$9&gt;=200000,AH9,IF(Калькулятор!$F$9&gt;=100000,AE9,AA9)))</f>
        <v>0.16750000000000001</v>
      </c>
      <c r="D9" s="5">
        <f>Калькулятор!$F$9*Лист1!C9/365*(W14-2)</f>
        <v>62640.410958904104</v>
      </c>
      <c r="E9" s="3">
        <v>5.0000000000000001E-3</v>
      </c>
      <c r="F9" s="5">
        <f>Калькулятор!$F$9*Лист1!E9/365*(W14-2)</f>
        <v>1869.8630136986301</v>
      </c>
      <c r="G9" s="3">
        <v>4.0000000000000001E-3</v>
      </c>
      <c r="H9" s="5">
        <f>Калькулятор!$F$9*Лист1!G9/365*(W14-2)</f>
        <v>1495.8904109589041</v>
      </c>
      <c r="I9" s="3"/>
      <c r="J9" s="9"/>
      <c r="K9" s="26"/>
      <c r="L9" s="9"/>
      <c r="M9" s="26"/>
      <c r="N9" s="9"/>
      <c r="O9" s="3"/>
      <c r="P9" s="5"/>
      <c r="Q9" s="3"/>
      <c r="R9" s="9"/>
      <c r="T9">
        <v>4</v>
      </c>
      <c r="U9" s="1">
        <f t="shared" si="0"/>
        <v>45876</v>
      </c>
      <c r="V9">
        <f t="shared" si="1"/>
        <v>31</v>
      </c>
      <c r="Z9" s="31">
        <v>9</v>
      </c>
      <c r="AA9" s="3">
        <v>0.16250000000000001</v>
      </c>
      <c r="AB9" s="3"/>
      <c r="AC9" s="30">
        <f>IF(Калькулятор!$F$9&gt;=500000,AE9,AC13)</f>
        <v>0.16250000000000001</v>
      </c>
      <c r="AD9" s="30"/>
      <c r="AE9" s="30">
        <f>AA9</f>
        <v>0.16250000000000001</v>
      </c>
      <c r="AF9" s="30"/>
      <c r="AH9" s="30">
        <f>AA9+0.25%</f>
        <v>0.16500000000000001</v>
      </c>
      <c r="AI9" s="30"/>
      <c r="AK9" s="30">
        <f>AA9+0.5%</f>
        <v>0.16750000000000001</v>
      </c>
      <c r="AL9" s="30"/>
    </row>
    <row r="10" spans="1:38" x14ac:dyDescent="0.4">
      <c r="A10" s="2" t="s">
        <v>5</v>
      </c>
      <c r="B10" s="2">
        <v>12</v>
      </c>
      <c r="C10" s="42">
        <f>IF(Калькулятор!$F$9&gt;=500000,AK10,IF(Калькулятор!$F$9&gt;=200000,AH10,IF(Калькулятор!$F$9&gt;=100000,AE10,AA10)))</f>
        <v>0.17</v>
      </c>
      <c r="D10" s="5">
        <f>Калькулятор!$F$9*Лист1!C10/365*(W18-2)</f>
        <v>84534.246575342462</v>
      </c>
      <c r="E10" s="3">
        <v>5.0000000000000001E-3</v>
      </c>
      <c r="F10" s="5">
        <f>Калькулятор!$F$9*Лист1!E10/365*(W18-2)</f>
        <v>2486.3013698630139</v>
      </c>
      <c r="G10" s="3">
        <v>4.0000000000000001E-3</v>
      </c>
      <c r="H10" s="5">
        <f>Калькулятор!$F$9*Лист1!G10/365*(W18-2)</f>
        <v>1989.0410958904108</v>
      </c>
      <c r="I10" s="3"/>
      <c r="J10" s="9"/>
      <c r="K10" s="26"/>
      <c r="L10" s="9"/>
      <c r="M10" s="26"/>
      <c r="N10" s="9"/>
      <c r="O10" s="3"/>
      <c r="P10" s="5"/>
      <c r="Q10" s="3"/>
      <c r="R10" s="9"/>
      <c r="T10">
        <v>5</v>
      </c>
      <c r="U10" s="1">
        <f t="shared" si="0"/>
        <v>45907</v>
      </c>
      <c r="V10">
        <f t="shared" si="1"/>
        <v>31</v>
      </c>
      <c r="Z10" s="31">
        <v>12</v>
      </c>
      <c r="AA10" s="3">
        <v>0.16500000000000001</v>
      </c>
      <c r="AB10" s="3"/>
      <c r="AC10" s="30">
        <f>IF(Калькулятор!$F$9&gt;=500000,AE10,AC14)</f>
        <v>0.16500000000000001</v>
      </c>
      <c r="AD10" s="30"/>
      <c r="AE10" s="30">
        <f>AA10</f>
        <v>0.16500000000000001</v>
      </c>
      <c r="AF10" s="30"/>
      <c r="AH10" s="30">
        <f>AA10+0.25%</f>
        <v>0.16750000000000001</v>
      </c>
      <c r="AI10" s="30"/>
      <c r="AK10" s="30">
        <f>AA10+0.5%</f>
        <v>0.17</v>
      </c>
      <c r="AL10" s="30"/>
    </row>
    <row r="11" spans="1:38" x14ac:dyDescent="0.4">
      <c r="A11" s="2" t="s">
        <v>6</v>
      </c>
      <c r="B11" s="2">
        <v>18</v>
      </c>
      <c r="C11" s="3">
        <v>0.1575</v>
      </c>
      <c r="D11" s="5">
        <f>Калькулятор!$F$9*Лист1!C11/365*(W24-2)</f>
        <v>117801.36986301371</v>
      </c>
      <c r="E11" s="3"/>
      <c r="F11" s="5"/>
      <c r="G11" s="3"/>
      <c r="H11" s="5"/>
      <c r="I11" s="3"/>
      <c r="J11" s="5"/>
      <c r="K11" s="26"/>
      <c r="L11" s="9"/>
      <c r="M11" s="26"/>
      <c r="N11" s="9"/>
      <c r="O11" s="3" t="s">
        <v>26</v>
      </c>
      <c r="P11" s="5" t="s">
        <v>26</v>
      </c>
      <c r="Q11" s="3" t="s">
        <v>26</v>
      </c>
      <c r="R11" s="9" t="s">
        <v>26</v>
      </c>
      <c r="T11">
        <v>6</v>
      </c>
      <c r="U11" s="1">
        <f t="shared" si="0"/>
        <v>45937</v>
      </c>
      <c r="V11">
        <f t="shared" si="1"/>
        <v>30</v>
      </c>
      <c r="W11">
        <f>SUM(V6:V11)</f>
        <v>183</v>
      </c>
      <c r="AC11" s="103" t="s">
        <v>27</v>
      </c>
      <c r="AD11" s="103"/>
    </row>
    <row r="12" spans="1:38" ht="15" customHeight="1" x14ac:dyDescent="0.4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T12">
        <v>7</v>
      </c>
      <c r="U12" s="1">
        <f t="shared" si="0"/>
        <v>45968</v>
      </c>
      <c r="V12">
        <f>U12-U11</f>
        <v>31</v>
      </c>
      <c r="AC12" s="30">
        <f>AA8+0.25%</f>
        <v>0.16250000000000001</v>
      </c>
      <c r="AD12" s="30"/>
      <c r="AE12" s="30"/>
      <c r="AF12" s="30"/>
    </row>
    <row r="13" spans="1:38" x14ac:dyDescent="0.4">
      <c r="A13" s="93" t="s">
        <v>4</v>
      </c>
      <c r="B13" s="100"/>
      <c r="C13" s="97" t="s">
        <v>17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T13">
        <v>8</v>
      </c>
      <c r="U13" s="1">
        <f t="shared" si="0"/>
        <v>45998</v>
      </c>
      <c r="V13">
        <f t="shared" si="1"/>
        <v>30</v>
      </c>
      <c r="AC13" s="30">
        <f t="shared" ref="AC13:AC14" si="2">AA9+0.25%</f>
        <v>0.16500000000000001</v>
      </c>
      <c r="AD13" s="30"/>
      <c r="AE13" s="30"/>
      <c r="AF13" s="30"/>
    </row>
    <row r="14" spans="1:38" x14ac:dyDescent="0.4">
      <c r="A14" s="93"/>
      <c r="B14" s="101"/>
      <c r="C14" s="90" t="s">
        <v>11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9" t="s">
        <v>16</v>
      </c>
      <c r="P14" s="99"/>
      <c r="Q14" s="99"/>
      <c r="R14" s="99"/>
      <c r="T14">
        <v>9</v>
      </c>
      <c r="U14" s="1">
        <f t="shared" si="0"/>
        <v>46029</v>
      </c>
      <c r="V14">
        <f t="shared" si="1"/>
        <v>31</v>
      </c>
      <c r="W14">
        <f>SUM(V6:V14)</f>
        <v>275</v>
      </c>
      <c r="AC14" s="30">
        <f t="shared" si="2"/>
        <v>0.16750000000000001</v>
      </c>
      <c r="AD14" s="30"/>
      <c r="AE14" s="30"/>
      <c r="AF14" s="30"/>
    </row>
    <row r="15" spans="1:38" x14ac:dyDescent="0.4">
      <c r="A15" s="93"/>
      <c r="B15" s="101"/>
      <c r="C15" s="86" t="s">
        <v>36</v>
      </c>
      <c r="D15" s="86"/>
      <c r="E15" s="86"/>
      <c r="F15" s="86"/>
      <c r="G15" s="86"/>
      <c r="H15" s="86"/>
      <c r="I15" s="86" t="s">
        <v>37</v>
      </c>
      <c r="J15" s="86"/>
      <c r="K15" s="86"/>
      <c r="L15" s="86"/>
      <c r="M15" s="86"/>
      <c r="N15" s="86"/>
      <c r="O15" s="86" t="s">
        <v>9</v>
      </c>
      <c r="P15" s="86"/>
      <c r="Q15" s="86" t="s">
        <v>10</v>
      </c>
      <c r="R15" s="86"/>
      <c r="T15">
        <v>10</v>
      </c>
      <c r="U15" s="1">
        <f t="shared" ref="U15:U29" si="3">EDATE($U$5,T15)</f>
        <v>46060</v>
      </c>
      <c r="AC15" s="29"/>
      <c r="AD15" s="29"/>
      <c r="AE15" s="29"/>
      <c r="AF15" s="29"/>
    </row>
    <row r="16" spans="1:38" x14ac:dyDescent="0.4">
      <c r="A16" s="93"/>
      <c r="B16" s="101"/>
      <c r="C16" s="98" t="s">
        <v>22</v>
      </c>
      <c r="D16" s="98"/>
      <c r="E16" s="87" t="s">
        <v>23</v>
      </c>
      <c r="F16" s="89"/>
      <c r="G16" s="87" t="s">
        <v>24</v>
      </c>
      <c r="H16" s="89"/>
      <c r="I16" s="98" t="s">
        <v>22</v>
      </c>
      <c r="J16" s="98"/>
      <c r="K16" s="87" t="s">
        <v>23</v>
      </c>
      <c r="L16" s="89"/>
      <c r="M16" s="87" t="s">
        <v>24</v>
      </c>
      <c r="N16" s="89"/>
      <c r="O16" s="87" t="s">
        <v>22</v>
      </c>
      <c r="P16" s="88"/>
      <c r="Q16" s="88"/>
      <c r="R16" s="89"/>
      <c r="T16">
        <v>11</v>
      </c>
      <c r="U16" s="1">
        <f t="shared" si="3"/>
        <v>46088</v>
      </c>
      <c r="V16">
        <f>U16-U14</f>
        <v>59</v>
      </c>
    </row>
    <row r="17" spans="1:23" ht="29.15" x14ac:dyDescent="0.4">
      <c r="A17" s="93"/>
      <c r="B17" s="102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3"/>
        <v>46119</v>
      </c>
      <c r="V17">
        <f t="shared" si="1"/>
        <v>31</v>
      </c>
      <c r="W17">
        <f>SUM(V6:V17)</f>
        <v>365</v>
      </c>
    </row>
    <row r="18" spans="1:23" x14ac:dyDescent="0.4">
      <c r="A18" s="2" t="s">
        <v>33</v>
      </c>
      <c r="B18" s="2">
        <v>1</v>
      </c>
      <c r="C18" s="3">
        <f t="shared" ref="C18:C23" si="4">C6</f>
        <v>7.4999999999999997E-2</v>
      </c>
      <c r="D18" s="5">
        <f>Калькулятор!F9*Лист1!C18/365*(V6-2)</f>
        <v>2876.7123287671229</v>
      </c>
      <c r="E18" s="3"/>
      <c r="F18" s="5"/>
      <c r="G18" s="3"/>
      <c r="H18" s="5"/>
      <c r="I18" s="4"/>
      <c r="J18" s="6"/>
      <c r="K18" s="25"/>
      <c r="L18" s="6"/>
      <c r="M18" s="25"/>
      <c r="N18" s="6"/>
      <c r="O18" s="3"/>
      <c r="P18" s="5"/>
      <c r="Q18" s="4"/>
      <c r="R18" s="6"/>
      <c r="T18">
        <v>13</v>
      </c>
      <c r="U18" s="1">
        <f t="shared" si="3"/>
        <v>46149</v>
      </c>
      <c r="V18">
        <f t="shared" si="1"/>
        <v>30</v>
      </c>
      <c r="W18">
        <f>SUM(V6:V17)</f>
        <v>365</v>
      </c>
    </row>
    <row r="19" spans="1:23" x14ac:dyDescent="0.4">
      <c r="A19" s="2" t="s">
        <v>48</v>
      </c>
      <c r="B19" s="2">
        <v>100</v>
      </c>
      <c r="C19" s="3">
        <f t="shared" si="4"/>
        <v>0.1225</v>
      </c>
      <c r="D19" s="5">
        <f>Калькулятор!$F$9*Лист1!C19/365*(W8-2)</f>
        <v>16445.205479452055</v>
      </c>
      <c r="E19" s="3">
        <f>E7</f>
        <v>5.0000000000000001E-3</v>
      </c>
      <c r="F19" s="5">
        <f>Калькулятор!$F$9*Лист1!E19/365*(W8-2)</f>
        <v>671.23287671232879</v>
      </c>
      <c r="G19" s="3">
        <f>G7</f>
        <v>4.0000000000000001E-3</v>
      </c>
      <c r="H19" s="5">
        <f>Калькулятор!$F$9*Лист1!G19/365*(W8-2)</f>
        <v>536.98630136986299</v>
      </c>
      <c r="I19" s="3"/>
      <c r="J19" s="9"/>
      <c r="K19" s="26"/>
      <c r="L19" s="9"/>
      <c r="M19" s="26"/>
      <c r="N19" s="9"/>
      <c r="O19" s="3"/>
      <c r="P19" s="5"/>
      <c r="Q19" s="3"/>
      <c r="R19" s="9"/>
      <c r="T19">
        <v>14</v>
      </c>
      <c r="U19" s="1">
        <f t="shared" si="3"/>
        <v>46180</v>
      </c>
      <c r="V19">
        <f t="shared" si="1"/>
        <v>31</v>
      </c>
    </row>
    <row r="20" spans="1:23" x14ac:dyDescent="0.4">
      <c r="A20" s="2" t="s">
        <v>34</v>
      </c>
      <c r="B20" s="2">
        <v>6</v>
      </c>
      <c r="C20" s="3">
        <f t="shared" si="4"/>
        <v>0.16</v>
      </c>
      <c r="D20" s="5">
        <f>Калькулятор!$F$9*Лист1!C20/365*(W11-2)</f>
        <v>39671.232876712325</v>
      </c>
      <c r="E20" s="3">
        <f>E8</f>
        <v>5.0000000000000001E-3</v>
      </c>
      <c r="F20" s="5">
        <f>Калькулятор!$F$9*Лист1!E20/365*(W11-2)</f>
        <v>1239.7260273972602</v>
      </c>
      <c r="G20" s="3">
        <f>G8</f>
        <v>4.0000000000000001E-3</v>
      </c>
      <c r="H20" s="5">
        <f>Калькулятор!$F$9*Лист1!G20/365*(W11-2)</f>
        <v>991.78082191780811</v>
      </c>
      <c r="I20" s="3"/>
      <c r="J20" s="9"/>
      <c r="K20" s="26"/>
      <c r="L20" s="9"/>
      <c r="M20" s="26"/>
      <c r="N20" s="9"/>
      <c r="O20" s="3"/>
      <c r="P20" s="5"/>
      <c r="Q20" s="3"/>
      <c r="R20" s="9"/>
      <c r="T20">
        <v>15</v>
      </c>
      <c r="U20" s="1">
        <f t="shared" si="3"/>
        <v>46210</v>
      </c>
      <c r="V20">
        <f t="shared" si="1"/>
        <v>30</v>
      </c>
    </row>
    <row r="21" spans="1:23" x14ac:dyDescent="0.4">
      <c r="A21" s="2" t="s">
        <v>35</v>
      </c>
      <c r="B21" s="2">
        <v>9</v>
      </c>
      <c r="C21" s="3">
        <f t="shared" si="4"/>
        <v>0.16750000000000001</v>
      </c>
      <c r="D21" s="5">
        <f>Калькулятор!$F$9*Лист1!C21/365*(W14-2)</f>
        <v>62640.410958904104</v>
      </c>
      <c r="E21" s="3">
        <f>E9</f>
        <v>5.0000000000000001E-3</v>
      </c>
      <c r="F21" s="5">
        <f>Калькулятор!$F$9*Лист1!E21/365*(W14-2)</f>
        <v>1869.8630136986301</v>
      </c>
      <c r="G21" s="3">
        <f>G9</f>
        <v>4.0000000000000001E-3</v>
      </c>
      <c r="H21" s="5">
        <f>Калькулятор!$F$9*Лист1!G21/365*(W14-2)</f>
        <v>1495.8904109589041</v>
      </c>
      <c r="I21" s="3"/>
      <c r="J21" s="9"/>
      <c r="K21" s="26"/>
      <c r="L21" s="9"/>
      <c r="M21" s="26"/>
      <c r="N21" s="9"/>
      <c r="O21" s="3"/>
      <c r="P21" s="5"/>
      <c r="Q21" s="3"/>
      <c r="R21" s="9"/>
      <c r="T21">
        <v>16</v>
      </c>
      <c r="U21" s="1">
        <f t="shared" si="3"/>
        <v>46241</v>
      </c>
      <c r="V21">
        <f t="shared" si="1"/>
        <v>31</v>
      </c>
      <c r="W21">
        <f>SUM(V6:V21)</f>
        <v>487</v>
      </c>
    </row>
    <row r="22" spans="1:23" x14ac:dyDescent="0.4">
      <c r="A22" s="2" t="s">
        <v>5</v>
      </c>
      <c r="B22" s="2">
        <v>12</v>
      </c>
      <c r="C22" s="3">
        <f t="shared" si="4"/>
        <v>0.17</v>
      </c>
      <c r="D22" s="5">
        <f>Калькулятор!$F$9*Лист1!C22/365*(W18-2)</f>
        <v>84534.246575342462</v>
      </c>
      <c r="E22" s="3">
        <f>E10</f>
        <v>5.0000000000000001E-3</v>
      </c>
      <c r="F22" s="5">
        <f>Калькулятор!$F$9*Лист1!E22/365*(W18-2)</f>
        <v>2486.3013698630139</v>
      </c>
      <c r="G22" s="3">
        <f>G10</f>
        <v>4.0000000000000001E-3</v>
      </c>
      <c r="H22" s="5">
        <f>Калькулятор!$F$9*Лист1!G22/365*(W18-2)</f>
        <v>1989.0410958904108</v>
      </c>
      <c r="I22" s="3"/>
      <c r="J22" s="9"/>
      <c r="K22" s="26"/>
      <c r="L22" s="9"/>
      <c r="M22" s="26"/>
      <c r="N22" s="9"/>
      <c r="O22" s="3"/>
      <c r="P22" s="5"/>
      <c r="Q22" s="3"/>
      <c r="R22" s="9"/>
      <c r="T22">
        <v>17</v>
      </c>
      <c r="U22" s="1">
        <f t="shared" si="3"/>
        <v>46272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>
        <f t="shared" si="4"/>
        <v>0.1575</v>
      </c>
      <c r="D23" s="5">
        <f>Калькулятор!$F$9*Лист1!C23/365*(W24-2)</f>
        <v>117801.36986301371</v>
      </c>
      <c r="E23" s="3"/>
      <c r="F23" s="5"/>
      <c r="G23" s="3"/>
      <c r="H23" s="5"/>
      <c r="I23" s="3"/>
      <c r="J23" s="5"/>
      <c r="K23" s="26"/>
      <c r="L23" s="9"/>
      <c r="M23" s="26"/>
      <c r="N23" s="9"/>
      <c r="O23" s="3" t="s">
        <v>26</v>
      </c>
      <c r="P23" s="5" t="s">
        <v>26</v>
      </c>
      <c r="Q23" s="3" t="s">
        <v>26</v>
      </c>
      <c r="R23" s="9" t="s">
        <v>26</v>
      </c>
      <c r="T23">
        <v>18</v>
      </c>
      <c r="U23" s="1">
        <f t="shared" si="3"/>
        <v>46302</v>
      </c>
      <c r="V23">
        <f t="shared" si="1"/>
        <v>30</v>
      </c>
      <c r="W23">
        <f>SUM(V5:V23)</f>
        <v>548</v>
      </c>
    </row>
    <row r="24" spans="1:23" x14ac:dyDescent="0.4">
      <c r="T24">
        <v>19</v>
      </c>
      <c r="U24" s="1">
        <f t="shared" si="3"/>
        <v>46333</v>
      </c>
      <c r="V24">
        <f t="shared" si="1"/>
        <v>31</v>
      </c>
      <c r="W24">
        <f>SUM(V6:V23)</f>
        <v>548</v>
      </c>
    </row>
    <row r="25" spans="1:23" x14ac:dyDescent="0.4">
      <c r="T25">
        <v>20</v>
      </c>
      <c r="U25" s="1">
        <f t="shared" si="3"/>
        <v>46363</v>
      </c>
      <c r="V25">
        <f t="shared" si="1"/>
        <v>30</v>
      </c>
    </row>
    <row r="26" spans="1:23" x14ac:dyDescent="0.4">
      <c r="T26">
        <v>21</v>
      </c>
      <c r="U26" s="1">
        <f t="shared" si="3"/>
        <v>46394</v>
      </c>
      <c r="V26">
        <f t="shared" si="1"/>
        <v>31</v>
      </c>
    </row>
    <row r="27" spans="1:23" x14ac:dyDescent="0.4">
      <c r="T27">
        <v>22</v>
      </c>
      <c r="U27" s="1">
        <f t="shared" si="3"/>
        <v>46425</v>
      </c>
      <c r="V27">
        <f t="shared" si="1"/>
        <v>31</v>
      </c>
    </row>
    <row r="28" spans="1:23" x14ac:dyDescent="0.4">
      <c r="T28">
        <v>23</v>
      </c>
      <c r="U28" s="1">
        <f t="shared" si="3"/>
        <v>46453</v>
      </c>
      <c r="V28">
        <f t="shared" si="1"/>
        <v>28</v>
      </c>
    </row>
    <row r="29" spans="1:23" x14ac:dyDescent="0.4">
      <c r="T29">
        <v>24</v>
      </c>
      <c r="U29" s="1">
        <f t="shared" si="3"/>
        <v>46484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9">
    <mergeCell ref="AH6:AI6"/>
    <mergeCell ref="AK6:AL6"/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2025-04-06T23:39:32Z</dcterms:modified>
</cp:coreProperties>
</file>