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428384EF-EE14-4103-A834-BF444A100BFC}" xr6:coauthVersionLast="47" xr6:coauthVersionMax="47" xr10:uidLastSave="{00000000-0000-0000-0000-000000000000}"/>
  <workbookProtection workbookAlgorithmName="SHA-512" workbookHashValue="iBneNLGY3NC6H/vTjc9tBzgIE0REWipCfceOr6MWcW1pfnY8Q3Ihc4uE/oS3NlCx+Upn/i0dJSuL6g322ngoqQ==" workbookSaltValue="Dpcuuze4FQgWewYONOEtqQ==" workbookSpinCount="100000" lockStructure="1"/>
  <bookViews>
    <workbookView xWindow="-120" yWindow="-120" windowWidth="29040" windowHeight="15990" tabRatio="863" xr2:uid="{00000000-000D-0000-FFFF-FFFF00000000}"/>
  </bookViews>
  <sheets>
    <sheet name="I-Shop Ідея_0-9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F2" i="164" l="1"/>
  <c r="H4" i="165"/>
  <c r="E2" i="164"/>
  <c r="G2" i="164"/>
  <c r="G3" i="164"/>
  <c r="G39" i="164" l="1"/>
  <c r="G4" i="165" l="1"/>
  <c r="B28" i="164" l="1"/>
  <c r="B26" i="164"/>
  <c r="B24" i="164"/>
  <c r="B11" i="164"/>
  <c r="F17" i="164" l="1"/>
  <c r="M4" i="165"/>
  <c r="K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<sst xmlns="http://schemas.openxmlformats.org/spreadsheetml/2006/main" count="169" uniqueCount="161">
  <si>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</si>
  <si>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</si>
  <si>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</si>
  <si>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</si>
  <si>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</si>
  <si>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</si>
  <si>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</si>
  <si>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</si>
  <si>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</si>
  <si>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</si>
  <si>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</si>
  <si>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</si>
  <si>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</si>
  <si>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</si>
  <si>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</si>
  <si>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</si>
  <si>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</si>
  <si>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</si>
  <si>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</si>
  <si>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</si>
  <si>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</si>
  <si>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</si>
  <si>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</si>
  <si>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</si>
  <si>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</si>
  <si>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</si>
  <si>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</si>
  <si>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</si>
  <si>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</si>
  <si>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</si>
  <si>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</si>
  <si>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</si>
  <si>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</si>
  <si>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</si>
  <si>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</si>
  <si>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</si>
  <si>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</si>
  <si>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</si>
  <si>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</si>
  <si>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</si>
  <si>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</si>
  <si>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</si>
  <si>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</si>
  <si>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</si>
  <si>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</si>
  <si>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</si>
  <si>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</si>
  <si>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</si>
  <si>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</si>
  <si>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</si>
  <si>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</si>
  <si>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</si>
  <si>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</si>
  <si>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</si>
  <si>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</si>
  <si>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</si>
  <si>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</si>
  <si>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</si>
  <si>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</si>
  <si>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</si>
  <si>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</si>
  <si>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</si>
  <si>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</si>
  <si>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</si>
  <si>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</si>
  <si>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</si>
  <si>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</si>
  <si>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</si>
  <si>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</si>
  <si>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</si>
  <si>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</si>
  <si>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</si>
  <si>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</si>
  <si>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</si>
  <si>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</si>
  <si>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</si>
  <si>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</si>
  <si>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</si>
  <si>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</si>
  <si>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</si>
  <si>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</si>
  <si>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</si>
  <si>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</si>
  <si>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</si>
  <si>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</si>
  <si>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</si>
  <si>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</si>
  <si>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</si>
  <si>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</si>
  <si>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</si>
  <si>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</si>
  <si>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</si>
  <si>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</si>
  <si>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</si>
  <si>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</si>
  <si>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</si>
  <si>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</si>
  <si>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</si>
  <si>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</si>
  <si>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</si>
  <si>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</si>
  <si>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</si>
  <si>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</si>
  <si>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</si>
  <si>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</si>
  <si>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</si>
  <si>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</si>
  <si>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</si>
  <si>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</si>
  <si>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</si>
  <si>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</si>
  <si>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</si>
  <si>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</si>
  <si>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</si>
  <si>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</si>
  <si>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</si>
  <si>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</si>
  <si>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</si>
  <si>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</si>
  <si>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</si>
  <si>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</si>
  <si>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</si>
  <si>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</si>
  <si>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</si>
  <si>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</si>
  <si>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</si>
  <si>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</si>
  <si>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</si>
  <si>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</si>
  <si>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</si>
  <si>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</si>
  <si>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</si>
  <si>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</si>
  <si>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</si>
  <si>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</si>
  <si>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</si>
  <si>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</si>
  <si>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</si>
  <si>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</si>
  <si>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</si>
  <si>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</si>
  <si>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</si>
  <si>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</si>
  <si>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</si>
  <si>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</si>
  <si>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</si>
  <si>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</si>
  <si>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</si>
  <si>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</si>
  <si>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</si>
  <si>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</si>
  <si>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</si>
  <si>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</si>
  <si>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</si>
  <si>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</si>
  <si>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</si>
  <si>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</si>
  <si>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</si>
  <si>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</si>
  <si>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</si>
  <si>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I-Shop Ідея_0-9-24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</si>
</sst>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56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6" fillId="0" borderId="0" xfId="49" applyFont="1"/>
    <xf numFmtId="0" fontId="27" fillId="0" borderId="0" xfId="49" applyFont="1"/>
    <xf numFmtId="1" fontId="26" fillId="0" borderId="0" xfId="49" applyNumberFormat="1" applyFont="1"/>
    <xf numFmtId="0" fontId="28" fillId="3" borderId="0" xfId="49" applyFont="1" applyFill="1"/>
    <xf numFmtId="0" fontId="6" fillId="0" borderId="0" xfId="0" applyFont="1" applyAlignment="1">
      <alignment horizontal="left"/>
    </xf>
    <xf numFmtId="0" fontId="27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6" fillId="0" borderId="0" xfId="72" applyNumberFormat="1" applyFont="1" applyFill="1" applyProtection="1"/>
    <xf numFmtId="1" fontId="26" fillId="0" borderId="0" xfId="76" applyNumberFormat="1" applyFont="1" applyFill="1" applyProtection="1"/>
    <xf numFmtId="9" fontId="26" fillId="0" borderId="0" xfId="50" applyFont="1" applyFill="1" applyProtection="1"/>
    <xf numFmtId="10" fontId="26" fillId="0" borderId="0" xfId="50" applyNumberFormat="1" applyFont="1" applyFill="1" applyProtection="1"/>
    <xf numFmtId="0" fontId="19" fillId="0" borderId="0" xfId="49" applyFont="1"/>
    <xf numFmtId="0" fontId="23" fillId="0" borderId="0" xfId="49" applyFont="1"/>
    <xf numFmtId="173" fontId="26" fillId="0" borderId="0" xfId="75" applyNumberFormat="1" applyFont="1" applyFill="1" applyProtection="1"/>
    <xf numFmtId="174" fontId="26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8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8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7" fillId="4" borderId="0" xfId="49" applyFont="1" applyFill="1"/>
    <xf numFmtId="0" fontId="29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0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1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2" fillId="3" borderId="0" xfId="0" applyFont="1" applyFill="1"/>
    <xf numFmtId="14" fontId="3" fillId="0" borderId="1" xfId="49" applyNumberFormat="1" applyBorder="1" applyAlignment="1">
      <alignment horizontal="center"/>
    </xf>
    <xf numFmtId="0" fontId="33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4" fillId="4" borderId="0" xfId="49" applyFont="1" applyFill="1"/>
    <xf numFmtId="0" fontId="34" fillId="4" borderId="0" xfId="49" applyFont="1" applyFill="1" applyAlignment="1">
      <alignment horizontal="right"/>
    </xf>
    <xf numFmtId="0" fontId="35" fillId="4" borderId="0" xfId="49" applyFont="1" applyFill="1"/>
    <xf numFmtId="0" fontId="29" fillId="3" borderId="0" xfId="49" applyFont="1" applyFill="1" applyAlignment="1">
      <alignment horizontal="center"/>
    </xf>
    <xf numFmtId="166" fontId="27" fillId="3" borderId="0" xfId="49" applyNumberFormat="1" applyFont="1" applyFill="1"/>
    <xf numFmtId="0" fontId="30" fillId="3" borderId="0" xfId="0" applyFont="1" applyFill="1" applyAlignment="1">
      <alignment horizontal="left"/>
    </xf>
    <xf numFmtId="10" fontId="31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6" fillId="4" borderId="0" xfId="49" applyFont="1" applyFill="1"/>
    <xf numFmtId="0" fontId="37" fillId="3" borderId="0" xfId="0" applyFont="1" applyFill="1"/>
    <xf numFmtId="1" fontId="0" fillId="10" borderId="0" xfId="0" applyNumberFormat="1" applyFill="1" applyProtection="1">
      <protection hidden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10" fontId="29" fillId="2" borderId="1" xfId="49" applyNumberFormat="1" applyFont="1" applyFill="1" applyBorder="1" applyAlignment="1">
      <alignment horizontal="center" vertical="center" wrapText="1"/>
    </xf>
    <xf numFmtId="170" fontId="27" fillId="0" borderId="2" xfId="49" applyNumberFormat="1" applyFont="1" applyBorder="1" applyAlignment="1">
      <alignment horizontal="center"/>
    </xf>
    <xf numFmtId="167" fontId="27" fillId="0" borderId="2" xfId="50" applyNumberFormat="1" applyFont="1" applyFill="1" applyBorder="1" applyAlignment="1" applyProtection="1">
      <alignment horizontal="center"/>
    </xf>
    <xf numFmtId="171" fontId="26" fillId="0" borderId="1" xfId="49" applyNumberFormat="1" applyFont="1" applyBorder="1" applyAlignment="1">
      <alignment horizontal="center"/>
    </xf>
    <xf numFmtId="170" fontId="26" fillId="0" borderId="1" xfId="49" applyNumberFormat="1" applyFont="1" applyBorder="1" applyAlignment="1">
      <alignment horizontal="center"/>
    </xf>
    <xf numFmtId="170" fontId="26" fillId="3" borderId="1" xfId="49" applyNumberFormat="1" applyFont="1" applyFill="1" applyBorder="1" applyAlignment="1">
      <alignment horizontal="center"/>
    </xf>
    <xf numFmtId="170" fontId="27" fillId="0" borderId="3" xfId="49" applyNumberFormat="1" applyFont="1" applyBorder="1" applyAlignment="1">
      <alignment horizontal="center"/>
    </xf>
    <xf numFmtId="167" fontId="27" fillId="0" borderId="3" xfId="50" applyNumberFormat="1" applyFont="1" applyFill="1" applyBorder="1" applyAlignment="1" applyProtection="1">
      <alignment horizontal="center"/>
    </xf>
    <xf numFmtId="0" fontId="34" fillId="0" borderId="0" xfId="49" applyFont="1"/>
    <xf numFmtId="172" fontId="36" fillId="3" borderId="0" xfId="49" applyNumberFormat="1" applyFont="1" applyFill="1" applyAlignment="1">
      <alignment horizontal="center" vertical="center"/>
    </xf>
    <xf numFmtId="10" fontId="41" fillId="3" borderId="1" xfId="49" applyNumberFormat="1" applyFont="1" applyFill="1" applyBorder="1" applyAlignment="1">
      <alignment horizontal="center"/>
    </xf>
    <xf numFmtId="0" fontId="32" fillId="3" borderId="0" xfId="0" applyFont="1" applyFill="1" applyAlignment="1">
      <alignment horizontal="left"/>
    </xf>
    <xf numFmtId="0" fontId="35" fillId="3" borderId="0" xfId="49" applyFont="1" applyFill="1" applyAlignment="1">
      <alignment horizontal="left"/>
    </xf>
    <xf numFmtId="10" fontId="41" fillId="3" borderId="0" xfId="49" applyNumberFormat="1" applyFont="1" applyFill="1" applyAlignment="1">
      <alignment horizontal="center"/>
    </xf>
    <xf numFmtId="0" fontId="41" fillId="3" borderId="0" xfId="49" applyFont="1" applyFill="1"/>
    <xf numFmtId="0" fontId="42" fillId="3" borderId="0" xfId="49" applyFont="1" applyFill="1" applyAlignment="1">
      <alignment horizontal="center"/>
    </xf>
    <xf numFmtId="0" fontId="41" fillId="3" borderId="1" xfId="49" applyFont="1" applyFill="1" applyBorder="1" applyAlignment="1">
      <alignment horizontal="center"/>
    </xf>
    <xf numFmtId="175" fontId="41" fillId="3" borderId="1" xfId="75" applyNumberFormat="1" applyFont="1" applyFill="1" applyBorder="1" applyAlignment="1" applyProtection="1">
      <alignment horizontal="center"/>
    </xf>
    <xf numFmtId="0" fontId="35" fillId="3" borderId="0" xfId="49" applyFont="1" applyFill="1"/>
    <xf numFmtId="170" fontId="41" fillId="3" borderId="0" xfId="49" applyNumberFormat="1" applyFont="1" applyFill="1" applyAlignment="1">
      <alignment horizontal="center"/>
    </xf>
    <xf numFmtId="2" fontId="41" fillId="0" borderId="1" xfId="49" applyNumberFormat="1" applyFont="1" applyBorder="1" applyAlignment="1">
      <alignment horizontal="center"/>
    </xf>
    <xf numFmtId="0" fontId="32" fillId="3" borderId="6" xfId="0" applyFont="1" applyFill="1" applyBorder="1" applyAlignment="1">
      <alignment horizontal="left"/>
    </xf>
    <xf numFmtId="170" fontId="41" fillId="3" borderId="6" xfId="49" applyNumberFormat="1" applyFont="1" applyFill="1" applyBorder="1"/>
    <xf numFmtId="167" fontId="41" fillId="0" borderId="1" xfId="49" applyNumberFormat="1" applyFont="1" applyBorder="1" applyAlignment="1">
      <alignment horizontal="center"/>
    </xf>
    <xf numFmtId="1" fontId="28" fillId="4" borderId="0" xfId="49" applyNumberFormat="1" applyFont="1" applyFill="1" applyAlignment="1">
      <alignment vertical="top" wrapText="1"/>
    </xf>
    <xf numFmtId="166" fontId="28" fillId="4" borderId="0" xfId="49" applyNumberFormat="1" applyFont="1" applyFill="1"/>
    <xf numFmtId="179" fontId="27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1" fillId="3" borderId="1" xfId="49" applyNumberFormat="1" applyFont="1" applyFill="1" applyBorder="1" applyAlignment="1">
      <alignment horizontal="center"/>
    </xf>
    <xf numFmtId="4" fontId="29" fillId="3" borderId="2" xfId="49" applyNumberFormat="1" applyFont="1" applyFill="1" applyBorder="1" applyAlignment="1">
      <alignment horizontal="center"/>
    </xf>
    <xf numFmtId="14" fontId="27" fillId="3" borderId="0" xfId="49" applyNumberFormat="1" applyFont="1" applyFill="1"/>
    <xf numFmtId="170" fontId="41" fillId="3" borderId="1" xfId="49" applyNumberFormat="1" applyFont="1" applyFill="1" applyBorder="1" applyAlignment="1">
      <alignment horizontal="center"/>
    </xf>
    <xf numFmtId="179" fontId="40" fillId="12" borderId="9" xfId="75" applyNumberFormat="1" applyFont="1" applyFill="1" applyBorder="1" applyAlignment="1" applyProtection="1">
      <alignment vertical="top" wrapText="1"/>
      <protection locked="0"/>
    </xf>
    <xf numFmtId="1" fontId="31" fillId="3" borderId="0" xfId="49" applyNumberFormat="1" applyFont="1" applyFill="1" applyAlignment="1">
      <alignment horizontal="center" vertical="center"/>
    </xf>
    <xf numFmtId="2" fontId="41" fillId="13" borderId="14" xfId="49" applyNumberFormat="1" applyFont="1" applyFill="1" applyBorder="1" applyAlignment="1">
      <alignment horizontal="center"/>
    </xf>
    <xf numFmtId="0" fontId="41" fillId="0" borderId="36" xfId="49" applyFont="1" applyBorder="1"/>
    <xf numFmtId="0" fontId="42" fillId="0" borderId="38" xfId="49" applyFont="1" applyBorder="1" applyAlignment="1">
      <alignment horizontal="center"/>
    </xf>
    <xf numFmtId="10" fontId="41" fillId="0" borderId="38" xfId="49" applyNumberFormat="1" applyFont="1" applyBorder="1" applyAlignment="1">
      <alignment horizontal="center"/>
    </xf>
    <xf numFmtId="0" fontId="37" fillId="3" borderId="39" xfId="0" applyFont="1" applyFill="1" applyBorder="1"/>
    <xf numFmtId="1" fontId="41" fillId="0" borderId="40" xfId="49" applyNumberFormat="1" applyFont="1" applyBorder="1" applyAlignment="1">
      <alignment horizontal="left" vertical="center"/>
    </xf>
    <xf numFmtId="1" fontId="41" fillId="0" borderId="38" xfId="49" applyNumberFormat="1" applyFont="1" applyBorder="1" applyAlignment="1">
      <alignment horizontal="center" vertical="center"/>
    </xf>
    <xf numFmtId="0" fontId="37" fillId="0" borderId="41" xfId="0" applyFont="1" applyBorder="1"/>
    <xf numFmtId="10" fontId="42" fillId="0" borderId="43" xfId="49" applyNumberFormat="1" applyFont="1" applyBorder="1" applyAlignment="1">
      <alignment horizontal="center"/>
    </xf>
    <xf numFmtId="0" fontId="41" fillId="3" borderId="37" xfId="49" applyFont="1" applyFill="1" applyBorder="1"/>
    <xf numFmtId="10" fontId="42" fillId="0" borderId="42" xfId="49" applyNumberFormat="1" applyFont="1" applyBorder="1" applyAlignment="1">
      <alignment horizontal="center"/>
    </xf>
    <xf numFmtId="170" fontId="42" fillId="0" borderId="42" xfId="49" applyNumberFormat="1" applyFont="1" applyBorder="1" applyAlignment="1">
      <alignment horizontal="center"/>
    </xf>
    <xf numFmtId="10" fontId="42" fillId="0" borderId="44" xfId="49" applyNumberFormat="1" applyFont="1" applyBorder="1" applyAlignment="1">
      <alignment horizontal="center"/>
    </xf>
    <xf numFmtId="172" fontId="42" fillId="0" borderId="44" xfId="49" applyNumberFormat="1" applyFont="1" applyBorder="1" applyAlignment="1">
      <alignment horizontal="center"/>
    </xf>
    <xf numFmtId="14" fontId="46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2" fillId="8" borderId="14" xfId="0" applyFont="1" applyFill="1" applyBorder="1" applyAlignment="1">
      <alignment horizontal="left" vertical="center"/>
    </xf>
    <xf numFmtId="0" fontId="32" fillId="8" borderId="20" xfId="0" applyFont="1" applyFill="1" applyBorder="1" applyAlignment="1">
      <alignment horizontal="left" vertical="center"/>
    </xf>
    <xf numFmtId="0" fontId="32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8" fillId="4" borderId="0" xfId="49" applyNumberFormat="1" applyFont="1" applyFill="1" applyAlignment="1">
      <alignment horizontal="center" vertical="center" wrapText="1"/>
    </xf>
    <xf numFmtId="10" fontId="38" fillId="4" borderId="25" xfId="49" applyNumberFormat="1" applyFont="1" applyFill="1" applyBorder="1" applyAlignment="1">
      <alignment horizontal="center" vertical="center" wrapText="1"/>
    </xf>
    <xf numFmtId="181" fontId="24" fillId="5" borderId="29" xfId="49" applyNumberFormat="1" applyFont="1" applyFill="1" applyBorder="1" applyAlignment="1">
      <alignment horizontal="center" vertical="center"/>
    </xf>
    <xf numFmtId="181" fontId="24" fillId="5" borderId="30" xfId="49" applyNumberFormat="1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3" fillId="11" borderId="33" xfId="0" applyFont="1" applyFill="1" applyBorder="1" applyAlignment="1">
      <alignment horizontal="center" vertical="center"/>
    </xf>
    <xf numFmtId="0" fontId="43" fillId="11" borderId="34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left"/>
    </xf>
    <xf numFmtId="0" fontId="32" fillId="6" borderId="20" xfId="0" applyFont="1" applyFill="1" applyBorder="1" applyAlignment="1">
      <alignment horizontal="left"/>
    </xf>
    <xf numFmtId="0" fontId="32" fillId="6" borderId="15" xfId="0" applyFont="1" applyFill="1" applyBorder="1" applyAlignment="1">
      <alignment horizontal="left"/>
    </xf>
    <xf numFmtId="0" fontId="32" fillId="6" borderId="6" xfId="0" applyFont="1" applyFill="1" applyBorder="1" applyAlignment="1">
      <alignment horizontal="left"/>
    </xf>
    <xf numFmtId="0" fontId="32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0" fillId="0" borderId="14" xfId="0" applyFont="1" applyBorder="1" applyAlignment="1">
      <alignment horizontal="left"/>
    </xf>
    <xf numFmtId="0" fontId="30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left"/>
    </xf>
    <xf numFmtId="0" fontId="32" fillId="2" borderId="6" xfId="0" applyFont="1" applyFill="1" applyBorder="1" applyAlignment="1">
      <alignment horizontal="left"/>
    </xf>
    <xf numFmtId="0" fontId="32" fillId="2" borderId="3" xfId="0" applyFont="1" applyFill="1" applyBorder="1" applyAlignment="1">
      <alignment horizontal="left"/>
    </xf>
    <xf numFmtId="0" fontId="39" fillId="2" borderId="15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2" fillId="0" borderId="1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2.5703125" style="4" hidden="1" customWidth="1" outlineLevel="1"/>
    <col min="11" max="11" width="9.42578125" style="4" hidden="1" customWidth="1" outlineLevel="1"/>
    <col min="12" max="12" width="16.42578125" style="4" hidden="1" customWidth="1" outlineLevel="1"/>
    <col min="13" max="15" width="14.85546875" style="4" hidden="1" customWidth="1" outlineLevel="1"/>
    <col min="16" max="24" width="13.5703125" style="4" hidden="1" customWidth="1" outlineLevel="1"/>
    <col min="25" max="25" width="7.42578125" style="4" hidden="1" customWidth="1" outlineLevel="1"/>
    <col min="26" max="26" width="9.140625" style="4" hidden="1" customWidth="1" outlineLevel="1"/>
    <col min="27" max="27" width="5.7109375" style="4" hidden="1" customWidth="1" outlineLevel="1"/>
    <col min="28" max="28" width="9.140625" style="95" customWidth="1" collapsed="1"/>
    <col min="29" max="30" width="9.140625" style="95" customWidth="1"/>
    <col min="31" max="44" width="9.140625" style="95"/>
    <col min="45" max="16384" width="9.140625" style="4"/>
  </cols>
  <sheetData>
    <row r="1" spans="1:44" ht="13.5" thickBot="1" x14ac:dyDescent="0.25">
      <c r="A1" s="41"/>
      <c r="B1" s="86"/>
      <c r="C1" s="86"/>
      <c r="D1" s="86"/>
      <c r="E1" s="86"/>
      <c r="F1" s="86"/>
      <c r="G1" s="87"/>
      <c r="H1" s="183" t="s">
        <v>48</v>
      </c>
      <c r="I1" s="183"/>
    </row>
    <row r="2" spans="1:44" ht="12.75" customHeight="1" x14ac:dyDescent="0.2">
      <c r="A2" s="2"/>
      <c r="B2" s="86"/>
      <c r="C2" s="86"/>
      <c r="D2" s="86"/>
      <c r="E2" s="107">
        <f>VLOOKUP('I-Shop Ідея_0-9-24'!H2,Лист2!A:P,16,FALSE)</f>
        <v>943.39599999999996</v>
      </c>
      <c r="F2" s="130">
        <f>VLOOKUP(H$2,Лист2!$A:$H,8,0)</f>
        <v>99999.997199999998</v>
      </c>
      <c r="G2" s="174">
        <f ca="1">TODAY()</f>
        <v>45757</v>
      </c>
      <c r="H2" s="190" t="s">
        <v>160</v>
      </c>
      <c r="I2" s="191"/>
    </row>
    <row r="3" spans="1:44" ht="13.7" customHeight="1" thickBot="1" x14ac:dyDescent="0.25">
      <c r="A3" s="2"/>
      <c r="B3" s="86"/>
      <c r="C3" s="86"/>
      <c r="D3" s="86"/>
      <c r="E3" s="108">
        <f>IF(F7&lt;E2,"x",IF(F7&gt;F2,"y",F7))</f>
        <v>99999.997199999998</v>
      </c>
      <c r="F3" s="192" t="str">
        <f>IF(E3="x","Збільшіть суму",IF(E3="y","Зменшіть суму",""))</f>
        <v/>
      </c>
      <c r="G3" s="131">
        <f>Назви!B32</f>
        <v>30.4</v>
      </c>
      <c r="H3" s="194">
        <v>94339.62</v>
      </c>
      <c r="I3" s="195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44" ht="9" customHeight="1" thickBot="1" x14ac:dyDescent="0.25">
      <c r="A4" s="2"/>
      <c r="B4" s="40"/>
      <c r="C4" s="40"/>
      <c r="D4" s="40"/>
      <c r="E4" s="117"/>
      <c r="F4" s="193"/>
      <c r="G4" s="110"/>
      <c r="H4" s="159"/>
      <c r="I4" s="118"/>
      <c r="Z4" s="49"/>
    </row>
    <row r="5" spans="1:44" ht="21" thickBot="1" x14ac:dyDescent="0.25">
      <c r="A5" s="1"/>
      <c r="B5" s="196" t="s">
        <v>42</v>
      </c>
      <c r="C5" s="197"/>
      <c r="D5" s="197"/>
      <c r="E5" s="198"/>
      <c r="F5" s="158">
        <v>94339.62</v>
      </c>
      <c r="G5" s="165" t="s">
        <v>27</v>
      </c>
      <c r="H5" s="166"/>
      <c r="I5" s="118"/>
      <c r="J5" s="35"/>
      <c r="K5" s="35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49"/>
    </row>
    <row r="6" spans="1:44" ht="5.45" customHeight="1" x14ac:dyDescent="0.2">
      <c r="A6" s="185"/>
      <c r="B6" s="185"/>
      <c r="C6" s="185"/>
      <c r="D6" s="185"/>
      <c r="E6" s="185"/>
      <c r="F6" s="185"/>
      <c r="G6" s="185"/>
      <c r="H6" s="185"/>
      <c r="I6" s="167"/>
      <c r="J6" s="35"/>
      <c r="K6" s="35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Z6" s="49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x14ac:dyDescent="0.2">
      <c r="A7" s="1"/>
      <c r="B7" s="187" t="s">
        <v>43</v>
      </c>
      <c r="C7" s="188"/>
      <c r="D7" s="188"/>
      <c r="E7" s="189"/>
      <c r="F7" s="160">
        <f>F5+F5*F11+F15+F5*F17</f>
        <v>99999.997199999998</v>
      </c>
      <c r="G7" s="161"/>
      <c r="H7" s="162"/>
      <c r="I7" s="40"/>
      <c r="J7" s="35"/>
      <c r="K7" s="49" t="str">
        <f>Лист2!A4</f>
        <v>I-Shop Ідея_0-9-24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Z7" s="49"/>
    </row>
    <row r="8" spans="1:44" ht="6" customHeight="1" x14ac:dyDescent="0.2">
      <c r="A8" s="184"/>
      <c r="B8" s="184"/>
      <c r="C8" s="184"/>
      <c r="D8" s="184"/>
      <c r="E8" s="184"/>
      <c r="F8" s="185"/>
      <c r="G8" s="184"/>
      <c r="H8" s="184"/>
      <c r="I8" s="184"/>
      <c r="J8" s="35"/>
      <c r="K8" s="49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Z8" s="49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x14ac:dyDescent="0.2">
      <c r="A9" s="1"/>
      <c r="B9" s="199" t="str">
        <f>Назви!A3</f>
        <v>Процентна ставка, % річних</v>
      </c>
      <c r="C9" s="200">
        <f>Назви!B3</f>
        <v>0</v>
      </c>
      <c r="D9" s="200">
        <f>Назви!C3</f>
        <v>0</v>
      </c>
      <c r="E9" s="200">
        <f>Назви!D3</f>
        <v>0</v>
      </c>
      <c r="F9" s="132">
        <f>VLOOKUP(H$2,Лист2!$A:$G,4,0)</f>
        <v>1E-4</v>
      </c>
      <c r="G9" s="168"/>
      <c r="H9" s="163"/>
      <c r="I9" s="164"/>
      <c r="J9" s="35"/>
      <c r="K9" s="49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Z9" s="49"/>
    </row>
    <row r="10" spans="1:44" ht="6.6" customHeight="1" x14ac:dyDescent="0.2">
      <c r="A10" s="1"/>
      <c r="B10" s="133"/>
      <c r="C10" s="134"/>
      <c r="D10" s="133"/>
      <c r="E10" s="134"/>
      <c r="F10" s="135"/>
      <c r="G10" s="169"/>
      <c r="H10" s="137"/>
      <c r="I10" s="148"/>
      <c r="J10" s="35"/>
      <c r="K10" s="49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Z10" s="49"/>
    </row>
    <row r="11" spans="1:44" ht="13.7" customHeight="1" x14ac:dyDescent="0.2">
      <c r="A11" s="1"/>
      <c r="B11" s="201" t="str">
        <f>Назви!A5</f>
        <v>Разовий страховий тариф, %</v>
      </c>
      <c r="C11" s="202">
        <f>Назви!B5</f>
        <v>0</v>
      </c>
      <c r="D11" s="202">
        <f>Назви!C5</f>
        <v>0</v>
      </c>
      <c r="E11" s="202">
        <f>Назви!D5</f>
        <v>0</v>
      </c>
      <c r="F11" s="132">
        <f>VLOOKUP(H$2,Лист2!$A:$G,5,0)</f>
        <v>0</v>
      </c>
      <c r="G11" s="172"/>
      <c r="H11" s="170"/>
      <c r="I11" s="118"/>
      <c r="J11" s="35"/>
      <c r="K11" s="49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Z11" s="49"/>
    </row>
    <row r="12" spans="1:44" ht="7.15" customHeight="1" x14ac:dyDescent="0.2">
      <c r="A12" s="185"/>
      <c r="B12" s="185"/>
      <c r="C12" s="185"/>
      <c r="D12" s="185"/>
      <c r="E12" s="185"/>
      <c r="F12" s="185"/>
      <c r="G12" s="185"/>
      <c r="H12" s="185"/>
      <c r="I12" s="185"/>
      <c r="J12" s="35"/>
      <c r="K12" s="49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Z12" s="49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ht="13.7" customHeight="1" x14ac:dyDescent="0.2">
      <c r="A13" s="1"/>
      <c r="B13" s="203" t="s">
        <v>41</v>
      </c>
      <c r="C13" s="203"/>
      <c r="D13" s="203"/>
      <c r="E13" s="201"/>
      <c r="F13" s="138">
        <f>VLOOKUP(H$2,Лист2!$A:$J,9,0)</f>
        <v>9</v>
      </c>
      <c r="G13" s="172"/>
      <c r="H13" s="170"/>
      <c r="I13" s="118"/>
      <c r="J13" s="35"/>
      <c r="K13" s="49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Z13" s="49"/>
    </row>
    <row r="14" spans="1:44" ht="8.4499999999999993" customHeight="1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35"/>
      <c r="K14" s="49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Z14" s="49"/>
    </row>
    <row r="15" spans="1:44" ht="13.7" customHeight="1" x14ac:dyDescent="0.2">
      <c r="A15" s="1"/>
      <c r="B15" s="203" t="s">
        <v>39</v>
      </c>
      <c r="C15" s="203"/>
      <c r="D15" s="203"/>
      <c r="E15" s="201"/>
      <c r="F15" s="154">
        <f>VLOOKUP(H$2,Лист2!$A:$J,10,0)</f>
        <v>0</v>
      </c>
      <c r="G15" s="172"/>
      <c r="H15" s="170"/>
      <c r="I15" s="118"/>
      <c r="J15" s="35"/>
      <c r="K15" s="49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Z15" s="49"/>
    </row>
    <row r="16" spans="1:44" ht="6" customHeight="1" x14ac:dyDescent="0.2">
      <c r="A16" s="185"/>
      <c r="B16" s="185"/>
      <c r="C16" s="185"/>
      <c r="D16" s="185"/>
      <c r="E16" s="185"/>
      <c r="F16" s="185"/>
      <c r="G16" s="185"/>
      <c r="H16" s="185"/>
      <c r="I16" s="118"/>
      <c r="J16" s="35"/>
      <c r="K16" s="49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Z16" s="49"/>
    </row>
    <row r="17" spans="1:44" x14ac:dyDescent="0.2">
      <c r="A17" s="1"/>
      <c r="B17" s="203" t="s">
        <v>40</v>
      </c>
      <c r="C17" s="203"/>
      <c r="D17" s="203"/>
      <c r="E17" s="203"/>
      <c r="F17" s="132">
        <f>VLOOKUP(H$2,Лист2!$A:$K,11,0)</f>
        <v>0.06</v>
      </c>
      <c r="G17" s="136"/>
      <c r="H17" s="137"/>
      <c r="I17" s="40"/>
      <c r="J17" s="35"/>
      <c r="K17" s="49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44" ht="5.45" customHeight="1" x14ac:dyDescent="0.2">
      <c r="A18" s="185"/>
      <c r="B18" s="185"/>
      <c r="C18" s="185"/>
      <c r="D18" s="185"/>
      <c r="E18" s="185"/>
      <c r="F18" s="185"/>
      <c r="G18" s="185"/>
      <c r="H18" s="185"/>
      <c r="I18" s="36"/>
      <c r="J18" s="35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ht="15" customHeight="1" x14ac:dyDescent="0.2">
      <c r="A19" s="1"/>
      <c r="B19" s="201" t="str">
        <f>Назви!A7</f>
        <v xml:space="preserve">Щомісячна плата за обслуговування кредитної заборгованості, % </v>
      </c>
      <c r="C19" s="202">
        <f>Назви!B7</f>
        <v>0</v>
      </c>
      <c r="D19" s="202">
        <f>Назви!C7</f>
        <v>0</v>
      </c>
      <c r="E19" s="226">
        <f>Назви!D7</f>
        <v>0</v>
      </c>
      <c r="F19" s="132">
        <f>VLOOKUP(H$2,Лист2!$A:$G,6,0)</f>
        <v>4.99E-2</v>
      </c>
      <c r="G19" s="172"/>
      <c r="H19" s="170"/>
      <c r="I19" s="118"/>
      <c r="J19" s="35"/>
      <c r="K19" s="47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1:44" ht="6.75" customHeight="1" x14ac:dyDescent="0.2">
      <c r="A20" s="1"/>
      <c r="B20" s="133"/>
      <c r="C20" s="134"/>
      <c r="D20" s="133"/>
      <c r="E20" s="134"/>
      <c r="F20" s="135"/>
      <c r="G20" s="136"/>
      <c r="H20" s="137"/>
      <c r="I20" s="40"/>
      <c r="J20" s="3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44" x14ac:dyDescent="0.2">
      <c r="A21" s="1"/>
      <c r="B21" s="201" t="str">
        <f>Назви!A9</f>
        <v>Термін кредитування (міс.)</v>
      </c>
      <c r="C21" s="202">
        <f>Назви!B9</f>
        <v>0</v>
      </c>
      <c r="D21" s="202">
        <f>Назви!C9</f>
        <v>0</v>
      </c>
      <c r="E21" s="226">
        <f>Назви!D9</f>
        <v>0</v>
      </c>
      <c r="F21" s="139">
        <f>VLOOKUP(H$2,Лист2!$A:$G,3,0)</f>
        <v>24</v>
      </c>
      <c r="G21" s="172"/>
      <c r="H21" s="170"/>
      <c r="I21" s="118"/>
      <c r="J21" s="35"/>
      <c r="K21" s="46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44" s="7" customFormat="1" ht="9.75" hidden="1" customHeight="1" x14ac:dyDescent="0.2">
      <c r="A22" s="1"/>
      <c r="B22" s="100"/>
      <c r="C22" s="140"/>
      <c r="D22" s="100"/>
      <c r="E22" s="146">
        <f>F5*F11</f>
        <v>0</v>
      </c>
      <c r="F22" s="109"/>
      <c r="G22" s="136"/>
      <c r="H22" s="137"/>
      <c r="I22" s="40"/>
      <c r="J22" s="35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</row>
    <row r="23" spans="1:44" s="7" customFormat="1" ht="11.25" customHeight="1" x14ac:dyDescent="0.2">
      <c r="A23" s="1"/>
      <c r="B23" s="100"/>
      <c r="C23" s="140"/>
      <c r="D23" s="100"/>
      <c r="E23" s="147">
        <f>E22+E3</f>
        <v>99999.997199999998</v>
      </c>
      <c r="F23" s="109"/>
      <c r="G23" s="136"/>
      <c r="H23" s="137"/>
      <c r="I23" s="40"/>
      <c r="J23" s="35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</row>
    <row r="24" spans="1:44" s="7" customFormat="1" ht="14.25" customHeight="1" x14ac:dyDescent="0.2">
      <c r="A24" s="1"/>
      <c r="B24" s="221" t="str">
        <f>Назви!A14</f>
        <v>Орієнтовні загальні витрати за кредитом, грн.</v>
      </c>
      <c r="C24" s="222"/>
      <c r="D24" s="222"/>
      <c r="E24" s="222"/>
      <c r="F24" s="157">
        <f>G100-E3</f>
        <v>74868.865828199996</v>
      </c>
      <c r="G24" s="136"/>
      <c r="H24" s="137"/>
      <c r="I24" s="40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</row>
    <row r="25" spans="1:44" s="7" customFormat="1" ht="14.25" customHeight="1" x14ac:dyDescent="0.2">
      <c r="A25" s="1"/>
      <c r="B25" s="133"/>
      <c r="C25" s="133"/>
      <c r="D25" s="133"/>
      <c r="E25" s="133"/>
      <c r="F25" s="141"/>
      <c r="G25" s="136"/>
      <c r="H25" s="137"/>
      <c r="I25" s="40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</row>
    <row r="26" spans="1:44" s="7" customFormat="1" x14ac:dyDescent="0.2">
      <c r="A26" s="1"/>
      <c r="B26" s="221" t="str">
        <f>Назви!A16</f>
        <v>Орієнтовна загальна вартість кредиту, грн.</v>
      </c>
      <c r="C26" s="222">
        <f>Назви!B14</f>
        <v>0</v>
      </c>
      <c r="D26" s="222">
        <f>Назви!C14</f>
        <v>0</v>
      </c>
      <c r="E26" s="223">
        <f>Назви!D14</f>
        <v>0</v>
      </c>
      <c r="F26" s="142">
        <f>E3+F24</f>
        <v>174868.86302819999</v>
      </c>
      <c r="G26" s="173"/>
      <c r="H26" s="171"/>
      <c r="I26" s="40"/>
      <c r="J26" s="35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</row>
    <row r="27" spans="1:44" s="7" customFormat="1" ht="15.75" customHeight="1" x14ac:dyDescent="0.2">
      <c r="A27" s="1"/>
      <c r="B27" s="143"/>
      <c r="C27" s="143"/>
      <c r="D27" s="143"/>
      <c r="E27" s="143"/>
      <c r="F27" s="144"/>
      <c r="G27" s="136"/>
      <c r="H27" s="137"/>
      <c r="I27" s="40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</row>
    <row r="28" spans="1:44" s="7" customFormat="1" x14ac:dyDescent="0.2">
      <c r="A28" s="1"/>
      <c r="B28" s="221" t="str">
        <f>Назви!A18</f>
        <v>Реальна річна процентна ставка, %</v>
      </c>
      <c r="C28" s="222">
        <f>Назви!B16</f>
        <v>0</v>
      </c>
      <c r="D28" s="222">
        <f>Назви!C16</f>
        <v>0</v>
      </c>
      <c r="E28" s="223">
        <f>Назви!D16</f>
        <v>0</v>
      </c>
      <c r="F28" s="145">
        <f ca="1">XIRR(G39:G87,C39:C87)</f>
        <v>0.73145223855972286</v>
      </c>
      <c r="G28" s="172"/>
      <c r="H28" s="170"/>
      <c r="I28" s="40"/>
      <c r="J28" s="35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</row>
    <row r="29" spans="1:44" s="7" customFormat="1" x14ac:dyDescent="0.2">
      <c r="A29" s="1"/>
      <c r="B29" s="112"/>
      <c r="C29" s="112"/>
      <c r="D29" s="112"/>
      <c r="E29" s="112"/>
      <c r="F29" s="113"/>
      <c r="G29" s="94"/>
      <c r="H29" s="110"/>
      <c r="I29" s="40"/>
      <c r="P29" s="36"/>
      <c r="Q29" s="36"/>
      <c r="R29" s="36"/>
      <c r="S29" s="36"/>
      <c r="T29" s="36"/>
      <c r="U29" s="36"/>
      <c r="V29" s="36"/>
      <c r="W29" s="36"/>
      <c r="X29" s="3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</row>
    <row r="30" spans="1:44" ht="38.25" hidden="1" customHeight="1" outlineLevel="1" x14ac:dyDescent="0.2">
      <c r="A30" s="1"/>
      <c r="B30" s="224" t="str">
        <f>Назви!A19</f>
        <v>Інший термін</v>
      </c>
      <c r="C30" s="225">
        <f>Назви!B19</f>
        <v>0</v>
      </c>
      <c r="D30" s="120" t="str">
        <f>Назви!C19</f>
        <v>Щомісячний платіж</v>
      </c>
      <c r="E30" s="121" t="str">
        <f>Назви!D19</f>
        <v>Переплата у грн.               за весь період</v>
      </c>
      <c r="F30" s="122" t="str">
        <f>Назви!E19</f>
        <v>Переплата у відсотках за весь період</v>
      </c>
      <c r="G30" s="122" t="str">
        <f>Назви!F19</f>
        <v>Переплата в місяць</v>
      </c>
      <c r="H30" s="122" t="str">
        <f>Назви!G19</f>
        <v>Переплата в день</v>
      </c>
      <c r="I30" s="122" t="str">
        <f>Назви!H19</f>
        <v>Щодененний платіж</v>
      </c>
    </row>
    <row r="31" spans="1:44" hidden="1" outlineLevel="1" x14ac:dyDescent="0.2">
      <c r="A31" s="38" t="str">
        <f>LEFT(B31,2)</f>
        <v>24</v>
      </c>
      <c r="B31" s="214" t="s">
        <v>32</v>
      </c>
      <c r="C31" s="215"/>
      <c r="D31" s="123">
        <f>IF(ISERROR(L28),"",L28)</f>
        <v>0</v>
      </c>
      <c r="E31" s="123" t="str">
        <f>IF(ISERROR(#REF!),"",#REF!)</f>
        <v/>
      </c>
      <c r="F31" s="124">
        <f>IF(ISERROR(L26),"",L26)</f>
        <v>0</v>
      </c>
      <c r="G31" s="125" t="str">
        <f>IF(ISERROR(E31/A31),"",E31/A31)</f>
        <v/>
      </c>
      <c r="H31" s="126" t="str">
        <f>IF(ISERROR(E31/A31/G$3),"",E31/A31/G$3)</f>
        <v/>
      </c>
      <c r="I31" s="127">
        <f>IF(ISERROR(D31/G$3),"",D31/G$3)</f>
        <v>0</v>
      </c>
      <c r="J31" s="36"/>
      <c r="K31" s="36"/>
      <c r="L31" s="36"/>
      <c r="M31" s="36"/>
      <c r="N31" s="36"/>
      <c r="O31" s="36"/>
      <c r="P31" s="36"/>
      <c r="Q31" s="36"/>
      <c r="R31" s="36"/>
    </row>
    <row r="32" spans="1:44" hidden="1" outlineLevel="1" x14ac:dyDescent="0.2">
      <c r="A32" s="38" t="str">
        <f>LEFT(B32,2)</f>
        <v>18</v>
      </c>
      <c r="B32" s="214" t="s">
        <v>33</v>
      </c>
      <c r="C32" s="215"/>
      <c r="D32" s="128">
        <f>IF(ISERROR(M28),"",M28)</f>
        <v>0</v>
      </c>
      <c r="E32" s="128" t="str">
        <f>IF(ISERROR(#REF!),"",#REF!)</f>
        <v/>
      </c>
      <c r="F32" s="129">
        <f>IF(ISERROR(M26),"",M26)</f>
        <v>0</v>
      </c>
      <c r="G32" s="125" t="str">
        <f>IF(ISERROR(E32/A32),"",E32/A32)</f>
        <v/>
      </c>
      <c r="H32" s="126" t="str">
        <f>IF(ISERROR(E32/A32/G$3),"",E32/A32/G$3)</f>
        <v/>
      </c>
      <c r="I32" s="127">
        <f>IF(ISERROR(D32/G$3),"",D32/G$3)</f>
        <v>0</v>
      </c>
      <c r="J32" s="36"/>
      <c r="K32" s="36"/>
      <c r="L32" s="36"/>
      <c r="M32" s="36"/>
      <c r="N32" s="36"/>
      <c r="O32" s="36"/>
      <c r="P32" s="36"/>
      <c r="Q32" s="36"/>
      <c r="R32" s="36"/>
    </row>
    <row r="33" spans="1:44" hidden="1" outlineLevel="1" x14ac:dyDescent="0.2">
      <c r="A33" s="38" t="str">
        <f>LEFT(B33,2)</f>
        <v>12</v>
      </c>
      <c r="B33" s="214" t="s">
        <v>9</v>
      </c>
      <c r="C33" s="215"/>
      <c r="D33" s="128">
        <f>IF(ISERROR(N28),"",N28)</f>
        <v>0</v>
      </c>
      <c r="E33" s="128" t="str">
        <f>IF(ISERROR(#REF!),"",#REF!)</f>
        <v/>
      </c>
      <c r="F33" s="129">
        <f>IF(ISERROR(N26),"",N26)</f>
        <v>0</v>
      </c>
      <c r="G33" s="125" t="str">
        <f>IF(ISERROR(E33/A33),"",E33/A33)</f>
        <v/>
      </c>
      <c r="H33" s="126" t="str">
        <f>IF(ISERROR(E33/A33/G$3),"",E33/A33/G$3)</f>
        <v/>
      </c>
      <c r="I33" s="127">
        <f>IF(ISERROR(D33/G$3),"",D33/G$3)</f>
        <v>0</v>
      </c>
      <c r="J33" s="36"/>
      <c r="K33" s="36"/>
      <c r="L33" s="36"/>
      <c r="M33" s="36"/>
      <c r="N33" s="36"/>
      <c r="O33" s="36"/>
      <c r="P33" s="36"/>
      <c r="Q33" s="36"/>
      <c r="R33" s="36"/>
    </row>
    <row r="34" spans="1:44" hidden="1" outlineLevel="1" x14ac:dyDescent="0.2">
      <c r="A34" s="38" t="str">
        <f>LEFT(B34,2)</f>
        <v/>
      </c>
      <c r="B34" s="214"/>
      <c r="C34" s="215"/>
      <c r="D34" s="128">
        <f>IF(ISERROR(O28),"",O28)</f>
        <v>0</v>
      </c>
      <c r="E34" s="128" t="str">
        <f>IF(ISERROR(#REF!),"",#REF!)</f>
        <v/>
      </c>
      <c r="F34" s="129">
        <f>IF(ISERROR(O26),"",O26)</f>
        <v>0</v>
      </c>
      <c r="G34" s="125" t="str">
        <f>IF(ISERROR(E34/A34),"",E34/A34)</f>
        <v/>
      </c>
      <c r="H34" s="126" t="str">
        <f>IF(ISERROR(E34/A34/G$3),"",E34/A34/G$3)</f>
        <v/>
      </c>
      <c r="I34" s="127">
        <f>IF(ISERROR(D34/G$3),"",D34/G$3)</f>
        <v>0</v>
      </c>
      <c r="J34" s="36"/>
      <c r="K34" s="36"/>
      <c r="L34" s="36"/>
      <c r="M34" s="36"/>
      <c r="N34" s="36"/>
      <c r="O34" s="36"/>
      <c r="P34" s="36"/>
      <c r="Q34" s="36"/>
      <c r="R34" s="36"/>
    </row>
    <row r="35" spans="1:44" hidden="1" collapsed="1" x14ac:dyDescent="0.2">
      <c r="A35" s="2"/>
      <c r="B35" s="92"/>
      <c r="C35" s="112"/>
      <c r="D35" s="92"/>
      <c r="E35" s="111"/>
      <c r="F35" s="40"/>
      <c r="G35" s="110"/>
      <c r="H35" s="94"/>
      <c r="I35" s="40"/>
      <c r="J35" s="36"/>
      <c r="K35" s="36"/>
      <c r="L35" s="36"/>
      <c r="M35" s="36"/>
      <c r="N35" s="36"/>
      <c r="O35" s="36"/>
      <c r="P35" s="36"/>
      <c r="Q35" s="36"/>
      <c r="R35" s="36"/>
    </row>
    <row r="36" spans="1:44" s="7" customFormat="1" ht="13.5" thickBot="1" x14ac:dyDescent="0.25">
      <c r="A36" s="1"/>
      <c r="B36" s="16"/>
      <c r="C36" s="10"/>
      <c r="D36" s="100"/>
      <c r="E36" s="17"/>
      <c r="F36" s="18"/>
      <c r="G36" s="12"/>
      <c r="H36" s="11"/>
      <c r="I36" s="1"/>
      <c r="J36" s="36"/>
      <c r="K36" s="36"/>
      <c r="L36" s="36"/>
      <c r="M36" s="36"/>
      <c r="N36" s="36"/>
      <c r="O36" s="36"/>
      <c r="P36" s="36"/>
      <c r="Q36" s="36"/>
      <c r="R36" s="3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</row>
    <row r="37" spans="1:44" ht="18.75" thickBot="1" x14ac:dyDescent="0.25">
      <c r="A37" s="1"/>
      <c r="B37" s="216" t="str">
        <f>Назви!A26</f>
        <v xml:space="preserve">ГРАФІК СПЛАТИ КРЕДИТУ </v>
      </c>
      <c r="C37" s="217"/>
      <c r="D37" s="217"/>
      <c r="E37" s="217"/>
      <c r="F37" s="217"/>
      <c r="G37" s="217"/>
      <c r="H37" s="218"/>
      <c r="I37" s="3"/>
      <c r="J37" s="36"/>
      <c r="K37" s="36"/>
      <c r="L37" s="36"/>
      <c r="M37" s="36"/>
      <c r="N37" s="36"/>
      <c r="O37" s="36"/>
      <c r="P37" s="36"/>
      <c r="Q37" s="36"/>
      <c r="R37" s="36"/>
    </row>
    <row r="38" spans="1:44" ht="44.45" customHeight="1" thickBot="1" x14ac:dyDescent="0.25">
      <c r="A38" s="1"/>
      <c r="B38" s="219" t="str">
        <f>Назви!A27</f>
        <v>Місяць</v>
      </c>
      <c r="C38" s="220"/>
      <c r="D38" s="93" t="str">
        <f>Назви!C27</f>
        <v>Розмір щомісячних внесків з повернення кредиту, грн.</v>
      </c>
      <c r="E38" s="93" t="str">
        <f>Назви!D27</f>
        <v>Розмір щомісячної плати за обслуговування кредиту, грн.</v>
      </c>
      <c r="F38" s="93" t="s">
        <v>5</v>
      </c>
      <c r="G38" s="219" t="str">
        <f>Назви!F27</f>
        <v>Загальна сума внесків до повернення в місяць, грн.</v>
      </c>
      <c r="H38" s="220"/>
      <c r="I38" s="3"/>
      <c r="J38" s="36"/>
      <c r="K38" s="36"/>
      <c r="L38" s="36"/>
      <c r="M38" s="36"/>
      <c r="N38" s="36"/>
      <c r="O38" s="36"/>
      <c r="P38" s="36"/>
      <c r="Q38" s="36"/>
      <c r="R38" s="36"/>
    </row>
    <row r="39" spans="1:44" ht="13.9" hidden="1" customHeight="1" thickBot="1" x14ac:dyDescent="0.25">
      <c r="A39" s="1"/>
      <c r="B39" s="88">
        <v>0</v>
      </c>
      <c r="C39" s="156">
        <f ca="1">TODAY()</f>
        <v>45757</v>
      </c>
      <c r="D39" s="89"/>
      <c r="E39" s="90"/>
      <c r="F39" s="89"/>
      <c r="G39" s="155">
        <f>-F5</f>
        <v>-94339.62</v>
      </c>
      <c r="H39" s="32"/>
      <c r="I39" s="3"/>
      <c r="J39" s="36"/>
      <c r="K39" s="36"/>
      <c r="L39" s="36"/>
      <c r="M39" s="36"/>
      <c r="N39" s="36"/>
      <c r="O39" s="36"/>
      <c r="P39" s="36"/>
      <c r="Q39" s="36"/>
      <c r="R39" s="36"/>
    </row>
    <row r="40" spans="1:44" x14ac:dyDescent="0.2">
      <c r="A40" s="1">
        <v>1</v>
      </c>
      <c r="B40" s="99">
        <v>1</v>
      </c>
      <c r="C40" s="104">
        <f ca="1">DATE(YEAR(C39),MONTH(C39)+1,DAY(C39))</f>
        <v>45787</v>
      </c>
      <c r="D40" s="19">
        <f>IF(B40&lt;=$F$21,$F$7/$F$21,0)</f>
        <v>4166.6665499999999</v>
      </c>
      <c r="E40" s="20">
        <f>IF(AND(B40&gt;F$13,B40&lt;=$F$21),F$7*F$19,0)</f>
        <v>0</v>
      </c>
      <c r="F40" s="179">
        <f>IF(B40&lt;=$F$21,F$5*F$9/12,0)</f>
        <v>0.7861634999999999</v>
      </c>
      <c r="G40" s="205">
        <f t="shared" ref="G40:G71" si="0">IF(B$40&lt;=F$21,D40+E40+F40,0)</f>
        <v>4167.4527134999998</v>
      </c>
      <c r="H40" s="205"/>
      <c r="I40" s="3"/>
      <c r="J40" s="36"/>
      <c r="K40" s="36"/>
      <c r="L40" s="36"/>
      <c r="M40" s="36"/>
      <c r="N40" s="36"/>
      <c r="O40" s="36"/>
      <c r="P40" s="36"/>
      <c r="Q40" s="36"/>
      <c r="R40" s="36"/>
    </row>
    <row r="41" spans="1:44" x14ac:dyDescent="0.2">
      <c r="A41" s="1">
        <v>2</v>
      </c>
      <c r="B41" s="98">
        <v>2</v>
      </c>
      <c r="C41" s="101">
        <f t="shared" ref="C41:C99" ca="1" si="1">DATE(YEAR(C40),MONTH(C40)+1,DAY(C40))</f>
        <v>45818</v>
      </c>
      <c r="D41" s="19">
        <f t="shared" ref="D41:D87" si="2">IF(B41&lt;=$F$21,$F$7/$F$21,0)</f>
        <v>4166.6665499999999</v>
      </c>
      <c r="E41" s="20">
        <f t="shared" ref="E41:E99" si="3">IF(AND(B41&gt;F$13,B41&lt;=$F$21),F$7*F$19,0)</f>
        <v>0</v>
      </c>
      <c r="F41" s="20">
        <f t="shared" ref="F41:F99" si="4">IF(B41&lt;=$F$21,F$5*F$9/12,0)</f>
        <v>0.7861634999999999</v>
      </c>
      <c r="G41" s="205">
        <f t="shared" si="0"/>
        <v>4167.4527134999998</v>
      </c>
      <c r="H41" s="205"/>
      <c r="I41" s="3"/>
      <c r="J41" s="36"/>
      <c r="K41" s="36"/>
      <c r="L41" s="36"/>
      <c r="M41" s="36"/>
      <c r="N41" s="36"/>
      <c r="O41" s="36"/>
      <c r="P41" s="36"/>
      <c r="Q41" s="36"/>
      <c r="R41" s="36"/>
    </row>
    <row r="42" spans="1:44" x14ac:dyDescent="0.2">
      <c r="A42" s="1">
        <v>3</v>
      </c>
      <c r="B42" s="98">
        <v>3</v>
      </c>
      <c r="C42" s="101">
        <f t="shared" ca="1" si="1"/>
        <v>45848</v>
      </c>
      <c r="D42" s="19">
        <f t="shared" si="2"/>
        <v>4166.6665499999999</v>
      </c>
      <c r="E42" s="20">
        <f t="shared" si="3"/>
        <v>0</v>
      </c>
      <c r="F42" s="20">
        <f t="shared" si="4"/>
        <v>0.7861634999999999</v>
      </c>
      <c r="G42" s="205">
        <f t="shared" si="0"/>
        <v>4167.4527134999998</v>
      </c>
      <c r="H42" s="205"/>
      <c r="I42" s="3"/>
      <c r="J42" s="36"/>
      <c r="K42" s="36"/>
      <c r="L42" s="36"/>
      <c r="M42" s="36"/>
      <c r="N42" s="36"/>
      <c r="O42" s="36"/>
      <c r="P42" s="36"/>
      <c r="Q42" s="36"/>
      <c r="R42" s="36"/>
    </row>
    <row r="43" spans="1:44" x14ac:dyDescent="0.2">
      <c r="A43" s="1">
        <v>4</v>
      </c>
      <c r="B43" s="98">
        <v>4</v>
      </c>
      <c r="C43" s="101">
        <f t="shared" ca="1" si="1"/>
        <v>45879</v>
      </c>
      <c r="D43" s="19">
        <f t="shared" si="2"/>
        <v>4166.6665499999999</v>
      </c>
      <c r="E43" s="20">
        <f t="shared" si="3"/>
        <v>0</v>
      </c>
      <c r="F43" s="20">
        <f t="shared" si="4"/>
        <v>0.7861634999999999</v>
      </c>
      <c r="G43" s="205">
        <f t="shared" si="0"/>
        <v>4167.4527134999998</v>
      </c>
      <c r="H43" s="205"/>
      <c r="I43" s="3"/>
      <c r="J43" s="36"/>
      <c r="K43" s="36"/>
      <c r="L43" s="36"/>
      <c r="M43" s="36"/>
      <c r="N43" s="36"/>
      <c r="O43" s="36"/>
      <c r="P43" s="36"/>
      <c r="Q43" s="36"/>
      <c r="R43" s="36"/>
    </row>
    <row r="44" spans="1:44" x14ac:dyDescent="0.2">
      <c r="A44" s="1">
        <v>5</v>
      </c>
      <c r="B44" s="98">
        <v>5</v>
      </c>
      <c r="C44" s="101">
        <f t="shared" ca="1" si="1"/>
        <v>45910</v>
      </c>
      <c r="D44" s="19">
        <f t="shared" si="2"/>
        <v>4166.6665499999999</v>
      </c>
      <c r="E44" s="20">
        <f t="shared" si="3"/>
        <v>0</v>
      </c>
      <c r="F44" s="20">
        <f t="shared" si="4"/>
        <v>0.7861634999999999</v>
      </c>
      <c r="G44" s="205">
        <f t="shared" si="0"/>
        <v>4167.4527134999998</v>
      </c>
      <c r="H44" s="205"/>
      <c r="I44" s="3"/>
      <c r="J44" s="36"/>
      <c r="K44" s="36"/>
      <c r="L44" s="36"/>
      <c r="M44" s="36"/>
      <c r="N44" s="36"/>
      <c r="O44" s="36"/>
      <c r="P44" s="36"/>
      <c r="Q44" s="36"/>
      <c r="R44" s="36"/>
    </row>
    <row r="45" spans="1:44" x14ac:dyDescent="0.2">
      <c r="A45" s="1">
        <v>6</v>
      </c>
      <c r="B45" s="98">
        <v>6</v>
      </c>
      <c r="C45" s="101">
        <f t="shared" ca="1" si="1"/>
        <v>45940</v>
      </c>
      <c r="D45" s="19">
        <f t="shared" si="2"/>
        <v>4166.6665499999999</v>
      </c>
      <c r="E45" s="20">
        <f t="shared" si="3"/>
        <v>0</v>
      </c>
      <c r="F45" s="20">
        <f t="shared" si="4"/>
        <v>0.7861634999999999</v>
      </c>
      <c r="G45" s="205">
        <f t="shared" si="0"/>
        <v>4167.4527134999998</v>
      </c>
      <c r="H45" s="205"/>
      <c r="I45" s="3"/>
      <c r="J45" s="36"/>
      <c r="K45" s="36"/>
      <c r="L45" s="36"/>
      <c r="M45" s="36"/>
      <c r="N45" s="36"/>
      <c r="O45" s="36"/>
      <c r="P45" s="36"/>
      <c r="Q45" s="36"/>
      <c r="R45" s="36"/>
    </row>
    <row r="46" spans="1:44" x14ac:dyDescent="0.2">
      <c r="A46" s="1">
        <v>7</v>
      </c>
      <c r="B46" s="98">
        <v>7</v>
      </c>
      <c r="C46" s="101">
        <f t="shared" ca="1" si="1"/>
        <v>45971</v>
      </c>
      <c r="D46" s="19">
        <f t="shared" si="2"/>
        <v>4166.6665499999999</v>
      </c>
      <c r="E46" s="20">
        <f t="shared" si="3"/>
        <v>0</v>
      </c>
      <c r="F46" s="20">
        <f t="shared" si="4"/>
        <v>0.7861634999999999</v>
      </c>
      <c r="G46" s="205">
        <f t="shared" si="0"/>
        <v>4167.4527134999998</v>
      </c>
      <c r="H46" s="205"/>
      <c r="I46" s="3"/>
      <c r="J46" s="36"/>
      <c r="K46" s="36"/>
      <c r="L46" s="36"/>
      <c r="M46" s="36"/>
      <c r="N46" s="36"/>
      <c r="O46" s="36"/>
      <c r="P46" s="36"/>
      <c r="Q46" s="36"/>
      <c r="R46" s="36"/>
    </row>
    <row r="47" spans="1:44" x14ac:dyDescent="0.2">
      <c r="A47" s="1">
        <v>8</v>
      </c>
      <c r="B47" s="98">
        <v>8</v>
      </c>
      <c r="C47" s="101">
        <f t="shared" ca="1" si="1"/>
        <v>46001</v>
      </c>
      <c r="D47" s="19">
        <f t="shared" si="2"/>
        <v>4166.6665499999999</v>
      </c>
      <c r="E47" s="20">
        <f t="shared" si="3"/>
        <v>0</v>
      </c>
      <c r="F47" s="20">
        <f t="shared" si="4"/>
        <v>0.7861634999999999</v>
      </c>
      <c r="G47" s="205">
        <f t="shared" si="0"/>
        <v>4167.4527134999998</v>
      </c>
      <c r="H47" s="205"/>
      <c r="I47" s="3"/>
      <c r="J47" s="36"/>
      <c r="K47" s="36"/>
      <c r="L47" s="36"/>
      <c r="M47" s="36"/>
      <c r="N47" s="36"/>
      <c r="O47" s="36"/>
      <c r="P47" s="36"/>
      <c r="Q47" s="36"/>
      <c r="R47" s="36"/>
    </row>
    <row r="48" spans="1:44" x14ac:dyDescent="0.2">
      <c r="A48" s="1">
        <v>9</v>
      </c>
      <c r="B48" s="98">
        <v>9</v>
      </c>
      <c r="C48" s="101">
        <f t="shared" ca="1" si="1"/>
        <v>46032</v>
      </c>
      <c r="D48" s="19">
        <f t="shared" si="2"/>
        <v>4166.6665499999999</v>
      </c>
      <c r="E48" s="20">
        <f t="shared" si="3"/>
        <v>0</v>
      </c>
      <c r="F48" s="20">
        <f t="shared" si="4"/>
        <v>0.7861634999999999</v>
      </c>
      <c r="G48" s="205">
        <f t="shared" si="0"/>
        <v>4167.4527134999998</v>
      </c>
      <c r="H48" s="205"/>
      <c r="I48" s="3"/>
      <c r="J48" s="36"/>
      <c r="K48" s="36"/>
      <c r="L48" s="36"/>
      <c r="M48" s="36"/>
      <c r="N48" s="36"/>
      <c r="O48" s="36"/>
      <c r="P48" s="36"/>
      <c r="Q48" s="36"/>
      <c r="R48" s="36"/>
      <c r="Z48" s="49"/>
    </row>
    <row r="49" spans="1:44" x14ac:dyDescent="0.2">
      <c r="A49" s="1">
        <v>10</v>
      </c>
      <c r="B49" s="98">
        <v>10</v>
      </c>
      <c r="C49" s="101">
        <f t="shared" ca="1" si="1"/>
        <v>46063</v>
      </c>
      <c r="D49" s="19">
        <f t="shared" si="2"/>
        <v>4166.6665499999999</v>
      </c>
      <c r="E49" s="20">
        <f t="shared" si="3"/>
        <v>4989.9998602799997</v>
      </c>
      <c r="F49" s="20">
        <f t="shared" si="4"/>
        <v>0.7861634999999999</v>
      </c>
      <c r="G49" s="205">
        <f t="shared" si="0"/>
        <v>9157.4525737799995</v>
      </c>
      <c r="H49" s="205"/>
      <c r="I49" s="3"/>
      <c r="J49" s="36"/>
      <c r="K49" s="36"/>
      <c r="L49" s="36"/>
      <c r="M49" s="36"/>
      <c r="N49" s="36"/>
      <c r="O49" s="36"/>
      <c r="P49" s="36"/>
      <c r="Q49" s="36"/>
      <c r="R49" s="36"/>
      <c r="Z49" s="49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">
      <c r="A50" s="1">
        <v>22</v>
      </c>
      <c r="B50" s="98">
        <v>11</v>
      </c>
      <c r="C50" s="101">
        <f t="shared" ca="1" si="1"/>
        <v>46091</v>
      </c>
      <c r="D50" s="19">
        <f t="shared" si="2"/>
        <v>4166.6665499999999</v>
      </c>
      <c r="E50" s="20">
        <f t="shared" si="3"/>
        <v>4989.9998602799997</v>
      </c>
      <c r="F50" s="20">
        <f t="shared" si="4"/>
        <v>0.7861634999999999</v>
      </c>
      <c r="G50" s="205">
        <f t="shared" si="0"/>
        <v>9157.4525737799995</v>
      </c>
      <c r="H50" s="205"/>
      <c r="I50" s="3"/>
      <c r="J50" s="36"/>
      <c r="K50" s="36"/>
      <c r="L50" s="36"/>
      <c r="M50" s="36"/>
      <c r="N50" s="36"/>
      <c r="O50" s="36"/>
      <c r="P50" s="36"/>
      <c r="Q50" s="36"/>
      <c r="R50" s="36"/>
      <c r="Z50" s="49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x14ac:dyDescent="0.2">
      <c r="A51" s="1">
        <v>22</v>
      </c>
      <c r="B51" s="98">
        <v>12</v>
      </c>
      <c r="C51" s="101">
        <f t="shared" ca="1" si="1"/>
        <v>46122</v>
      </c>
      <c r="D51" s="19">
        <f t="shared" si="2"/>
        <v>4166.6665499999999</v>
      </c>
      <c r="E51" s="20">
        <f t="shared" si="3"/>
        <v>4989.9998602799997</v>
      </c>
      <c r="F51" s="20">
        <f t="shared" si="4"/>
        <v>0.7861634999999999</v>
      </c>
      <c r="G51" s="205">
        <f t="shared" si="0"/>
        <v>9157.4525737799995</v>
      </c>
      <c r="H51" s="205"/>
      <c r="I51" s="3"/>
      <c r="J51" s="36"/>
      <c r="K51" s="36"/>
      <c r="L51" s="36"/>
      <c r="M51" s="36"/>
      <c r="N51" s="36"/>
      <c r="O51" s="36"/>
      <c r="P51" s="36"/>
      <c r="Q51" s="36"/>
      <c r="R51" s="36"/>
      <c r="Z51" s="49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x14ac:dyDescent="0.2">
      <c r="A52" s="1">
        <v>13</v>
      </c>
      <c r="B52" s="98">
        <v>13</v>
      </c>
      <c r="C52" s="101">
        <f t="shared" ca="1" si="1"/>
        <v>46152</v>
      </c>
      <c r="D52" s="19">
        <f t="shared" si="2"/>
        <v>4166.6665499999999</v>
      </c>
      <c r="E52" s="20">
        <f t="shared" si="3"/>
        <v>4989.9998602799997</v>
      </c>
      <c r="F52" s="20">
        <f t="shared" si="4"/>
        <v>0.7861634999999999</v>
      </c>
      <c r="G52" s="205">
        <f t="shared" si="0"/>
        <v>9157.4525737799995</v>
      </c>
      <c r="H52" s="205"/>
      <c r="I52" s="3"/>
      <c r="J52" s="36"/>
      <c r="K52" s="36"/>
      <c r="L52" s="36"/>
      <c r="M52" s="36"/>
      <c r="N52" s="36"/>
      <c r="O52" s="36"/>
      <c r="P52" s="36"/>
      <c r="Q52" s="36"/>
      <c r="R52" s="36"/>
      <c r="Z52" s="49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x14ac:dyDescent="0.2">
      <c r="A53" s="1">
        <v>14</v>
      </c>
      <c r="B53" s="98">
        <v>14</v>
      </c>
      <c r="C53" s="101">
        <f t="shared" ca="1" si="1"/>
        <v>46183</v>
      </c>
      <c r="D53" s="19">
        <f t="shared" si="2"/>
        <v>4166.6665499999999</v>
      </c>
      <c r="E53" s="20">
        <f t="shared" si="3"/>
        <v>4989.9998602799997</v>
      </c>
      <c r="F53" s="20">
        <f t="shared" si="4"/>
        <v>0.7861634999999999</v>
      </c>
      <c r="G53" s="205">
        <f t="shared" si="0"/>
        <v>9157.4525737799995</v>
      </c>
      <c r="H53" s="205"/>
      <c r="I53" s="3"/>
      <c r="J53" s="36"/>
      <c r="K53" s="36"/>
      <c r="L53" s="36"/>
      <c r="M53" s="36"/>
      <c r="N53" s="36"/>
      <c r="O53" s="36"/>
      <c r="P53" s="36"/>
      <c r="Q53" s="36"/>
      <c r="R53" s="36"/>
      <c r="Z53" s="49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x14ac:dyDescent="0.2">
      <c r="A54" s="1">
        <v>15</v>
      </c>
      <c r="B54" s="98">
        <v>15</v>
      </c>
      <c r="C54" s="101">
        <f t="shared" ca="1" si="1"/>
        <v>46213</v>
      </c>
      <c r="D54" s="19">
        <f t="shared" si="2"/>
        <v>4166.6665499999999</v>
      </c>
      <c r="E54" s="20">
        <f t="shared" si="3"/>
        <v>4989.9998602799997</v>
      </c>
      <c r="F54" s="20">
        <f t="shared" si="4"/>
        <v>0.7861634999999999</v>
      </c>
      <c r="G54" s="205">
        <f t="shared" si="0"/>
        <v>9157.4525737799995</v>
      </c>
      <c r="H54" s="205"/>
      <c r="I54" s="3"/>
      <c r="J54" s="36"/>
      <c r="K54" s="36"/>
      <c r="L54" s="36"/>
      <c r="M54" s="36"/>
      <c r="N54" s="36"/>
      <c r="O54" s="36"/>
      <c r="P54" s="36"/>
      <c r="Q54" s="36"/>
      <c r="R54" s="36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x14ac:dyDescent="0.2">
      <c r="A55" s="1">
        <v>16</v>
      </c>
      <c r="B55" s="98">
        <v>16</v>
      </c>
      <c r="C55" s="101">
        <f t="shared" ca="1" si="1"/>
        <v>46244</v>
      </c>
      <c r="D55" s="19">
        <f t="shared" si="2"/>
        <v>4166.6665499999999</v>
      </c>
      <c r="E55" s="20">
        <f t="shared" si="3"/>
        <v>4989.9998602799997</v>
      </c>
      <c r="F55" s="20">
        <f t="shared" si="4"/>
        <v>0.7861634999999999</v>
      </c>
      <c r="G55" s="205">
        <f t="shared" si="0"/>
        <v>9157.4525737799995</v>
      </c>
      <c r="H55" s="205"/>
      <c r="I55" s="3"/>
      <c r="J55" s="36"/>
      <c r="K55" s="36"/>
      <c r="L55" s="36"/>
      <c r="M55" s="36"/>
      <c r="N55" s="36"/>
      <c r="O55" s="36"/>
      <c r="P55" s="36"/>
      <c r="Q55" s="36"/>
      <c r="R55" s="36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x14ac:dyDescent="0.2">
      <c r="A56" s="1">
        <v>22</v>
      </c>
      <c r="B56" s="98">
        <v>17</v>
      </c>
      <c r="C56" s="101">
        <f t="shared" ca="1" si="1"/>
        <v>46275</v>
      </c>
      <c r="D56" s="19">
        <f t="shared" si="2"/>
        <v>4166.6665499999999</v>
      </c>
      <c r="E56" s="20">
        <f t="shared" si="3"/>
        <v>4989.9998602799997</v>
      </c>
      <c r="F56" s="20">
        <f t="shared" si="4"/>
        <v>0.7861634999999999</v>
      </c>
      <c r="G56" s="205">
        <f t="shared" si="0"/>
        <v>9157.4525737799995</v>
      </c>
      <c r="H56" s="205"/>
      <c r="I56" s="3"/>
      <c r="J56" s="36"/>
      <c r="K56" s="36"/>
      <c r="L56" s="36"/>
      <c r="M56" s="36"/>
      <c r="N56" s="36"/>
      <c r="O56" s="36"/>
      <c r="P56" s="36"/>
      <c r="Q56" s="36"/>
      <c r="R56" s="36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x14ac:dyDescent="0.2">
      <c r="A57" s="1">
        <v>22</v>
      </c>
      <c r="B57" s="98">
        <v>18</v>
      </c>
      <c r="C57" s="101">
        <f t="shared" ca="1" si="1"/>
        <v>46305</v>
      </c>
      <c r="D57" s="19">
        <f t="shared" si="2"/>
        <v>4166.6665499999999</v>
      </c>
      <c r="E57" s="20">
        <f t="shared" si="3"/>
        <v>4989.9998602799997</v>
      </c>
      <c r="F57" s="20">
        <f t="shared" si="4"/>
        <v>0.7861634999999999</v>
      </c>
      <c r="G57" s="205">
        <f t="shared" si="0"/>
        <v>9157.4525737799995</v>
      </c>
      <c r="H57" s="205"/>
      <c r="I57" s="3"/>
      <c r="J57" s="36"/>
      <c r="K57" s="36"/>
      <c r="L57" s="36"/>
      <c r="M57" s="36"/>
      <c r="N57" s="36"/>
      <c r="O57" s="36"/>
      <c r="P57" s="36"/>
      <c r="Q57" s="36"/>
      <c r="R57" s="36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x14ac:dyDescent="0.2">
      <c r="A58" s="1">
        <v>19</v>
      </c>
      <c r="B58" s="98">
        <v>19</v>
      </c>
      <c r="C58" s="101">
        <f t="shared" ca="1" si="1"/>
        <v>46336</v>
      </c>
      <c r="D58" s="19">
        <f t="shared" si="2"/>
        <v>4166.6665499999999</v>
      </c>
      <c r="E58" s="20">
        <f t="shared" si="3"/>
        <v>4989.9998602799997</v>
      </c>
      <c r="F58" s="20">
        <f t="shared" si="4"/>
        <v>0.7861634999999999</v>
      </c>
      <c r="G58" s="205">
        <f t="shared" si="0"/>
        <v>9157.4525737799995</v>
      </c>
      <c r="H58" s="205"/>
      <c r="I58" s="3"/>
      <c r="J58" s="36"/>
      <c r="K58" s="36"/>
      <c r="L58" s="36"/>
      <c r="M58" s="36"/>
      <c r="N58" s="36"/>
      <c r="O58" s="36"/>
      <c r="P58" s="36"/>
      <c r="Q58" s="36"/>
      <c r="R58" s="36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x14ac:dyDescent="0.2">
      <c r="A59" s="1">
        <v>20</v>
      </c>
      <c r="B59" s="98">
        <v>20</v>
      </c>
      <c r="C59" s="101">
        <f t="shared" ca="1" si="1"/>
        <v>46366</v>
      </c>
      <c r="D59" s="19">
        <f t="shared" si="2"/>
        <v>4166.6665499999999</v>
      </c>
      <c r="E59" s="20">
        <f t="shared" si="3"/>
        <v>4989.9998602799997</v>
      </c>
      <c r="F59" s="20">
        <f t="shared" si="4"/>
        <v>0.7861634999999999</v>
      </c>
      <c r="G59" s="205">
        <f t="shared" si="0"/>
        <v>9157.4525737799995</v>
      </c>
      <c r="H59" s="205"/>
      <c r="I59" s="3"/>
      <c r="J59" s="36"/>
      <c r="K59" s="36"/>
      <c r="L59" s="36"/>
      <c r="M59" s="36"/>
      <c r="N59" s="36"/>
      <c r="O59" s="36"/>
      <c r="P59" s="36"/>
      <c r="Q59" s="36"/>
      <c r="R59" s="36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x14ac:dyDescent="0.2">
      <c r="A60" s="41">
        <v>21</v>
      </c>
      <c r="B60" s="98">
        <v>21</v>
      </c>
      <c r="C60" s="101">
        <f t="shared" ca="1" si="1"/>
        <v>46397</v>
      </c>
      <c r="D60" s="19">
        <f t="shared" si="2"/>
        <v>4166.6665499999999</v>
      </c>
      <c r="E60" s="20">
        <f t="shared" si="3"/>
        <v>4989.9998602799997</v>
      </c>
      <c r="F60" s="20">
        <f t="shared" si="4"/>
        <v>0.7861634999999999</v>
      </c>
      <c r="G60" s="205">
        <f t="shared" si="0"/>
        <v>9157.4525737799995</v>
      </c>
      <c r="H60" s="205"/>
      <c r="I60" s="3"/>
      <c r="J60" s="36"/>
      <c r="K60" s="36"/>
      <c r="L60" s="36"/>
      <c r="M60" s="36"/>
      <c r="N60" s="36"/>
      <c r="O60" s="36"/>
      <c r="P60" s="36"/>
      <c r="Q60" s="36"/>
      <c r="R60" s="36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x14ac:dyDescent="0.2">
      <c r="A61" s="41">
        <v>22</v>
      </c>
      <c r="B61" s="98">
        <v>22</v>
      </c>
      <c r="C61" s="101">
        <f t="shared" ca="1" si="1"/>
        <v>46428</v>
      </c>
      <c r="D61" s="19">
        <f t="shared" si="2"/>
        <v>4166.6665499999999</v>
      </c>
      <c r="E61" s="20">
        <f t="shared" si="3"/>
        <v>4989.9998602799997</v>
      </c>
      <c r="F61" s="20">
        <f t="shared" si="4"/>
        <v>0.7861634999999999</v>
      </c>
      <c r="G61" s="205">
        <f t="shared" si="0"/>
        <v>9157.4525737799995</v>
      </c>
      <c r="H61" s="205"/>
      <c r="I61" s="3"/>
      <c r="J61" s="36"/>
      <c r="K61" s="36"/>
      <c r="L61" s="36"/>
      <c r="M61" s="36"/>
      <c r="N61" s="36"/>
      <c r="O61" s="36"/>
      <c r="P61" s="36"/>
      <c r="Q61" s="36"/>
      <c r="R61" s="36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x14ac:dyDescent="0.2">
      <c r="A62" s="41">
        <v>25</v>
      </c>
      <c r="B62" s="98">
        <v>23</v>
      </c>
      <c r="C62" s="101">
        <f t="shared" ca="1" si="1"/>
        <v>46456</v>
      </c>
      <c r="D62" s="19">
        <f t="shared" si="2"/>
        <v>4166.6665499999999</v>
      </c>
      <c r="E62" s="20">
        <f t="shared" si="3"/>
        <v>4989.9998602799997</v>
      </c>
      <c r="F62" s="20">
        <f t="shared" si="4"/>
        <v>0.7861634999999999</v>
      </c>
      <c r="G62" s="205">
        <f t="shared" si="0"/>
        <v>9157.4525737799995</v>
      </c>
      <c r="H62" s="205"/>
      <c r="I62" s="3"/>
      <c r="J62" s="36"/>
      <c r="K62" s="36"/>
      <c r="L62" s="36"/>
      <c r="M62" s="36"/>
      <c r="N62" s="36"/>
      <c r="O62" s="36"/>
      <c r="P62" s="36"/>
      <c r="Q62" s="36"/>
      <c r="R62" s="36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x14ac:dyDescent="0.2">
      <c r="A63" s="41"/>
      <c r="B63" s="98">
        <v>24</v>
      </c>
      <c r="C63" s="101">
        <f t="shared" ca="1" si="1"/>
        <v>46487</v>
      </c>
      <c r="D63" s="19">
        <f t="shared" si="2"/>
        <v>4166.6665499999999</v>
      </c>
      <c r="E63" s="20">
        <f t="shared" si="3"/>
        <v>4989.9998602799997</v>
      </c>
      <c r="F63" s="20">
        <f t="shared" si="4"/>
        <v>0.7861634999999999</v>
      </c>
      <c r="G63" s="205">
        <f t="shared" si="0"/>
        <v>9157.4525737799995</v>
      </c>
      <c r="H63" s="205"/>
      <c r="I63" s="3"/>
      <c r="J63" s="36"/>
      <c r="K63" s="36"/>
      <c r="L63" s="36"/>
      <c r="M63" s="36"/>
      <c r="N63" s="36"/>
      <c r="O63" s="36"/>
      <c r="P63" s="36"/>
      <c r="Q63" s="36"/>
      <c r="R63" s="36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x14ac:dyDescent="0.2">
      <c r="A64" s="41"/>
      <c r="B64" s="98">
        <v>25</v>
      </c>
      <c r="C64" s="101">
        <f t="shared" ca="1" si="1"/>
        <v>46517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5">
        <f t="shared" si="0"/>
        <v>0</v>
      </c>
      <c r="H64" s="205"/>
      <c r="I64" s="3"/>
      <c r="J64" s="36"/>
      <c r="K64" s="36"/>
      <c r="L64" s="36"/>
      <c r="M64" s="36"/>
      <c r="N64" s="36"/>
      <c r="O64" s="36"/>
      <c r="P64" s="36"/>
      <c r="Q64" s="36"/>
      <c r="R64" s="36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x14ac:dyDescent="0.2">
      <c r="A65" s="41"/>
      <c r="B65" s="98">
        <v>26</v>
      </c>
      <c r="C65" s="101">
        <f t="shared" ca="1" si="1"/>
        <v>46548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5">
        <f t="shared" si="0"/>
        <v>0</v>
      </c>
      <c r="H65" s="205"/>
      <c r="I65" s="3"/>
      <c r="J65" s="36"/>
      <c r="K65" s="36"/>
      <c r="L65" s="36"/>
      <c r="M65" s="36"/>
      <c r="N65" s="36"/>
      <c r="O65" s="36"/>
      <c r="P65" s="36"/>
      <c r="Q65" s="36"/>
      <c r="R65" s="36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x14ac:dyDescent="0.2">
      <c r="A66" s="41"/>
      <c r="B66" s="98">
        <v>27</v>
      </c>
      <c r="C66" s="101">
        <f t="shared" ca="1" si="1"/>
        <v>46578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5">
        <f t="shared" si="0"/>
        <v>0</v>
      </c>
      <c r="H66" s="205"/>
      <c r="I66" s="3"/>
      <c r="J66" s="36"/>
      <c r="K66" s="36"/>
      <c r="L66" s="36"/>
      <c r="M66" s="36"/>
      <c r="N66" s="36"/>
      <c r="O66" s="36"/>
      <c r="P66" s="36"/>
      <c r="Q66" s="36"/>
      <c r="R66" s="36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x14ac:dyDescent="0.2">
      <c r="A67" s="41"/>
      <c r="B67" s="98">
        <v>28</v>
      </c>
      <c r="C67" s="101">
        <f t="shared" ca="1" si="1"/>
        <v>46609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5">
        <f t="shared" si="0"/>
        <v>0</v>
      </c>
      <c r="H67" s="205"/>
      <c r="I67" s="3"/>
      <c r="J67" s="36"/>
      <c r="K67" s="36"/>
      <c r="L67" s="36"/>
      <c r="M67" s="36"/>
      <c r="N67" s="36"/>
      <c r="O67" s="36"/>
      <c r="P67" s="36"/>
      <c r="Q67" s="36"/>
      <c r="R67" s="36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x14ac:dyDescent="0.2">
      <c r="A68" s="41"/>
      <c r="B68" s="98">
        <v>29</v>
      </c>
      <c r="C68" s="101">
        <f t="shared" ca="1" si="1"/>
        <v>46640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5">
        <f t="shared" si="0"/>
        <v>0</v>
      </c>
      <c r="H68" s="205"/>
      <c r="I68" s="3"/>
      <c r="J68" s="36"/>
      <c r="K68" s="36"/>
      <c r="L68" s="36"/>
      <c r="M68" s="36"/>
      <c r="N68" s="36"/>
      <c r="O68" s="36"/>
      <c r="P68" s="36"/>
      <c r="Q68" s="36"/>
      <c r="R68" s="36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x14ac:dyDescent="0.2">
      <c r="A69" s="41">
        <v>25</v>
      </c>
      <c r="B69" s="98">
        <v>30</v>
      </c>
      <c r="C69" s="101">
        <f t="shared" ca="1" si="1"/>
        <v>46670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5">
        <f t="shared" si="0"/>
        <v>0</v>
      </c>
      <c r="H69" s="205"/>
      <c r="I69" s="102"/>
      <c r="J69" s="36"/>
      <c r="K69" s="36"/>
      <c r="L69" s="36"/>
      <c r="M69" s="36"/>
      <c r="N69" s="36"/>
      <c r="O69" s="36"/>
      <c r="P69" s="36"/>
      <c r="Q69" s="36"/>
      <c r="R69" s="36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x14ac:dyDescent="0.2">
      <c r="A70" s="41"/>
      <c r="B70" s="98">
        <v>31</v>
      </c>
      <c r="C70" s="101">
        <f t="shared" ca="1" si="1"/>
        <v>46701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5">
        <f t="shared" si="0"/>
        <v>0</v>
      </c>
      <c r="H70" s="205"/>
      <c r="I70" s="102"/>
      <c r="J70" s="36"/>
      <c r="K70" s="36"/>
      <c r="L70" s="36"/>
      <c r="M70" s="36"/>
      <c r="N70" s="36"/>
      <c r="O70" s="36"/>
      <c r="P70" s="36"/>
      <c r="Q70" s="36"/>
      <c r="R70" s="36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x14ac:dyDescent="0.2">
      <c r="A71" s="41"/>
      <c r="B71" s="98">
        <v>32</v>
      </c>
      <c r="C71" s="101">
        <f t="shared" ca="1" si="1"/>
        <v>46731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5">
        <f t="shared" si="0"/>
        <v>0</v>
      </c>
      <c r="H71" s="205"/>
      <c r="I71" s="102"/>
      <c r="J71" s="36"/>
      <c r="K71" s="36"/>
      <c r="L71" s="36"/>
      <c r="M71" s="36"/>
      <c r="N71" s="36"/>
      <c r="O71" s="36"/>
      <c r="P71" s="36"/>
      <c r="Q71" s="36"/>
      <c r="R71" s="36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x14ac:dyDescent="0.2">
      <c r="A72" s="41"/>
      <c r="B72" s="98">
        <v>33</v>
      </c>
      <c r="C72" s="101">
        <f t="shared" ca="1" si="1"/>
        <v>46762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5">
        <f t="shared" ref="G72:G99" si="5">IF(B$40&lt;=F$21,D72+E72+F72,0)</f>
        <v>0</v>
      </c>
      <c r="H72" s="205"/>
      <c r="I72" s="102"/>
      <c r="J72" s="36"/>
      <c r="K72" s="36"/>
      <c r="L72" s="36"/>
      <c r="M72" s="36"/>
      <c r="N72" s="36"/>
      <c r="O72" s="36"/>
      <c r="P72" s="36"/>
      <c r="Q72" s="36"/>
      <c r="R72" s="36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x14ac:dyDescent="0.2">
      <c r="A73" s="41"/>
      <c r="B73" s="98">
        <v>34</v>
      </c>
      <c r="C73" s="101">
        <f t="shared" ca="1" si="1"/>
        <v>46793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5">
        <f t="shared" si="5"/>
        <v>0</v>
      </c>
      <c r="H73" s="205"/>
      <c r="I73" s="102"/>
      <c r="J73" s="36"/>
      <c r="K73" s="36"/>
      <c r="L73" s="36"/>
      <c r="M73" s="36"/>
      <c r="N73" s="36"/>
      <c r="O73" s="36"/>
      <c r="P73" s="36"/>
      <c r="Q73" s="36"/>
      <c r="R73" s="36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x14ac:dyDescent="0.2">
      <c r="A74" s="41"/>
      <c r="B74" s="98">
        <v>35</v>
      </c>
      <c r="C74" s="101">
        <f t="shared" ca="1" si="1"/>
        <v>46822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5">
        <f t="shared" si="5"/>
        <v>0</v>
      </c>
      <c r="H74" s="205"/>
      <c r="I74" s="102"/>
      <c r="J74" s="36"/>
      <c r="K74" s="36"/>
      <c r="L74" s="36"/>
      <c r="M74" s="36"/>
      <c r="N74" s="36"/>
      <c r="O74" s="36"/>
      <c r="P74" s="36"/>
      <c r="Q74" s="36"/>
      <c r="R74" s="36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x14ac:dyDescent="0.2">
      <c r="A75" s="41"/>
      <c r="B75" s="98">
        <v>36</v>
      </c>
      <c r="C75" s="101">
        <f t="shared" ca="1" si="1"/>
        <v>46853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5">
        <f t="shared" si="5"/>
        <v>0</v>
      </c>
      <c r="H75" s="205"/>
      <c r="I75" s="102"/>
      <c r="J75" s="36"/>
      <c r="K75" s="36"/>
      <c r="L75" s="36"/>
      <c r="M75" s="36"/>
      <c r="N75" s="36"/>
      <c r="O75" s="36"/>
      <c r="P75" s="36"/>
      <c r="Q75" s="36"/>
      <c r="R75" s="36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x14ac:dyDescent="0.2">
      <c r="A76" s="41"/>
      <c r="B76" s="98">
        <v>37</v>
      </c>
      <c r="C76" s="101">
        <f t="shared" ca="1" si="1"/>
        <v>46883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5">
        <f t="shared" si="5"/>
        <v>0</v>
      </c>
      <c r="H76" s="205"/>
      <c r="I76" s="102"/>
      <c r="J76" s="36"/>
      <c r="K76" s="36"/>
      <c r="L76" s="36"/>
      <c r="M76" s="36"/>
      <c r="N76" s="36"/>
      <c r="O76" s="36"/>
      <c r="P76" s="36"/>
      <c r="Q76" s="36"/>
      <c r="R76" s="36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x14ac:dyDescent="0.2">
      <c r="A77" s="41"/>
      <c r="B77" s="98">
        <v>38</v>
      </c>
      <c r="C77" s="101">
        <f t="shared" ca="1" si="1"/>
        <v>46914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5">
        <f t="shared" si="5"/>
        <v>0</v>
      </c>
      <c r="H77" s="205"/>
      <c r="I77" s="102"/>
      <c r="J77" s="36"/>
      <c r="K77" s="36"/>
      <c r="L77" s="36"/>
      <c r="M77" s="36"/>
      <c r="N77" s="36"/>
      <c r="O77" s="36"/>
      <c r="P77" s="36"/>
      <c r="Q77" s="36"/>
      <c r="R77" s="36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x14ac:dyDescent="0.2">
      <c r="A78" s="41"/>
      <c r="B78" s="98">
        <v>39</v>
      </c>
      <c r="C78" s="101">
        <f t="shared" ca="1" si="1"/>
        <v>46944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5">
        <f t="shared" si="5"/>
        <v>0</v>
      </c>
      <c r="H78" s="205"/>
      <c r="I78" s="102"/>
      <c r="J78" s="36"/>
      <c r="K78" s="36"/>
      <c r="L78" s="36"/>
      <c r="M78" s="36"/>
      <c r="N78" s="36"/>
      <c r="O78" s="36"/>
      <c r="P78" s="36"/>
      <c r="Q78" s="36"/>
      <c r="R78" s="36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x14ac:dyDescent="0.2">
      <c r="A79" s="41"/>
      <c r="B79" s="98">
        <v>40</v>
      </c>
      <c r="C79" s="101">
        <f t="shared" ca="1" si="1"/>
        <v>46975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5">
        <f t="shared" si="5"/>
        <v>0</v>
      </c>
      <c r="H79" s="205"/>
      <c r="I79" s="102"/>
      <c r="J79" s="36"/>
      <c r="K79" s="36"/>
      <c r="L79" s="36"/>
      <c r="M79" s="36"/>
      <c r="N79" s="36"/>
      <c r="O79" s="36"/>
      <c r="P79" s="36"/>
      <c r="Q79" s="36"/>
      <c r="R79" s="36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x14ac:dyDescent="0.2">
      <c r="A80" s="41"/>
      <c r="B80" s="98">
        <v>41</v>
      </c>
      <c r="C80" s="101">
        <f t="shared" ca="1" si="1"/>
        <v>47006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5">
        <f t="shared" si="5"/>
        <v>0</v>
      </c>
      <c r="H80" s="205"/>
      <c r="I80" s="102"/>
      <c r="J80" s="36"/>
      <c r="K80" s="36"/>
      <c r="L80" s="36"/>
      <c r="M80" s="36"/>
      <c r="N80" s="36"/>
      <c r="O80" s="36"/>
      <c r="P80" s="36"/>
      <c r="Q80" s="36"/>
      <c r="R80" s="36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x14ac:dyDescent="0.2">
      <c r="A81" s="41"/>
      <c r="B81" s="98">
        <v>42</v>
      </c>
      <c r="C81" s="101">
        <f t="shared" ca="1" si="1"/>
        <v>47036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5">
        <f t="shared" si="5"/>
        <v>0</v>
      </c>
      <c r="H81" s="205"/>
      <c r="I81" s="102"/>
      <c r="J81" s="36"/>
      <c r="K81" s="36"/>
      <c r="L81" s="36"/>
      <c r="M81" s="36"/>
      <c r="N81" s="36"/>
      <c r="O81" s="36"/>
      <c r="P81" s="36"/>
      <c r="Q81" s="36"/>
      <c r="R81" s="36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x14ac:dyDescent="0.2">
      <c r="A82" s="41"/>
      <c r="B82" s="98">
        <v>43</v>
      </c>
      <c r="C82" s="101">
        <f t="shared" ca="1" si="1"/>
        <v>47067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5">
        <f t="shared" si="5"/>
        <v>0</v>
      </c>
      <c r="H82" s="205"/>
      <c r="I82" s="102"/>
      <c r="J82" s="36"/>
      <c r="K82" s="36"/>
      <c r="L82" s="36"/>
      <c r="M82" s="36"/>
      <c r="N82" s="36"/>
      <c r="O82" s="36"/>
      <c r="P82" s="36"/>
      <c r="Q82" s="36"/>
      <c r="R82" s="36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x14ac:dyDescent="0.2">
      <c r="A83" s="41"/>
      <c r="B83" s="98">
        <v>44</v>
      </c>
      <c r="C83" s="101">
        <f t="shared" ca="1" si="1"/>
        <v>47097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5">
        <f t="shared" si="5"/>
        <v>0</v>
      </c>
      <c r="H83" s="205"/>
      <c r="I83" s="102"/>
      <c r="J83" s="36"/>
      <c r="K83" s="36"/>
      <c r="L83" s="36"/>
      <c r="M83" s="36"/>
      <c r="N83" s="36"/>
      <c r="O83" s="36"/>
      <c r="P83" s="36"/>
      <c r="Q83" s="36"/>
      <c r="R83" s="36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x14ac:dyDescent="0.2">
      <c r="A84" s="41"/>
      <c r="B84" s="98">
        <v>45</v>
      </c>
      <c r="C84" s="101">
        <f t="shared" ca="1" si="1"/>
        <v>47128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5">
        <f t="shared" si="5"/>
        <v>0</v>
      </c>
      <c r="H84" s="205"/>
      <c r="I84" s="102"/>
      <c r="J84" s="36"/>
      <c r="K84" s="36"/>
      <c r="L84" s="36"/>
      <c r="M84" s="36"/>
      <c r="N84" s="36"/>
      <c r="O84" s="36"/>
      <c r="P84" s="36"/>
      <c r="Q84" s="36"/>
      <c r="R84" s="36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x14ac:dyDescent="0.2">
      <c r="A85" s="41"/>
      <c r="B85" s="98">
        <v>46</v>
      </c>
      <c r="C85" s="101">
        <f t="shared" ca="1" si="1"/>
        <v>47159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5">
        <f t="shared" si="5"/>
        <v>0</v>
      </c>
      <c r="H85" s="205"/>
      <c r="I85" s="102"/>
      <c r="J85" s="36"/>
      <c r="K85" s="36"/>
      <c r="L85" s="36"/>
      <c r="M85" s="36"/>
      <c r="N85" s="36"/>
      <c r="O85" s="36"/>
      <c r="P85" s="36"/>
      <c r="Q85" s="36"/>
      <c r="R85" s="36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x14ac:dyDescent="0.2">
      <c r="A86" s="41"/>
      <c r="B86" s="98">
        <v>47</v>
      </c>
      <c r="C86" s="101">
        <f t="shared" ca="1" si="1"/>
        <v>47187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5">
        <f t="shared" si="5"/>
        <v>0</v>
      </c>
      <c r="H86" s="205"/>
      <c r="I86" s="102"/>
      <c r="J86" s="36"/>
      <c r="K86" s="36"/>
      <c r="L86" s="36"/>
      <c r="M86" s="36"/>
      <c r="N86" s="36"/>
      <c r="O86" s="36"/>
      <c r="P86" s="36"/>
      <c r="Q86" s="36"/>
      <c r="R86" s="36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x14ac:dyDescent="0.2">
      <c r="A87" s="41"/>
      <c r="B87" s="98">
        <v>48</v>
      </c>
      <c r="C87" s="101">
        <f t="shared" ca="1" si="1"/>
        <v>47218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5">
        <f t="shared" si="5"/>
        <v>0</v>
      </c>
      <c r="H87" s="205"/>
      <c r="I87" s="102"/>
      <c r="J87" s="36"/>
      <c r="K87" s="36"/>
      <c r="L87" s="36"/>
      <c r="M87" s="36"/>
      <c r="N87" s="36"/>
      <c r="O87" s="36"/>
      <c r="P87" s="36"/>
      <c r="Q87" s="36"/>
      <c r="R87" s="36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ht="13.5" thickBot="1" x14ac:dyDescent="0.25">
      <c r="A88" s="41"/>
      <c r="B88" s="98">
        <v>49</v>
      </c>
      <c r="C88" s="101">
        <f t="shared" ca="1" si="1"/>
        <v>47248</v>
      </c>
      <c r="D88" s="177">
        <f t="shared" ref="D88:D99" si="6">IF(B88&lt;=$F$21,(($F$5+F$15)+(($F$5+F$15)*F$11))/$F$21,0)</f>
        <v>0</v>
      </c>
      <c r="E88" s="178">
        <f t="shared" si="3"/>
        <v>0</v>
      </c>
      <c r="F88" s="178">
        <f t="shared" si="4"/>
        <v>0</v>
      </c>
      <c r="G88" s="212">
        <f t="shared" si="5"/>
        <v>0</v>
      </c>
      <c r="H88" s="213"/>
      <c r="I88" s="102"/>
      <c r="J88" s="36"/>
      <c r="K88" s="36"/>
      <c r="L88" s="36"/>
      <c r="M88" s="36"/>
      <c r="N88" s="36"/>
      <c r="O88" s="36"/>
      <c r="P88" s="36"/>
      <c r="Q88" s="36"/>
      <c r="R88" s="36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ht="13.5" thickBot="1" x14ac:dyDescent="0.25">
      <c r="A89" s="41"/>
      <c r="B89" s="98">
        <v>50</v>
      </c>
      <c r="C89" s="101">
        <f t="shared" ca="1" si="1"/>
        <v>47279</v>
      </c>
      <c r="D89" s="105">
        <f t="shared" si="6"/>
        <v>0</v>
      </c>
      <c r="E89" s="106">
        <f t="shared" si="3"/>
        <v>0</v>
      </c>
      <c r="F89" s="106">
        <f t="shared" si="4"/>
        <v>0</v>
      </c>
      <c r="G89" s="206">
        <f t="shared" si="5"/>
        <v>0</v>
      </c>
      <c r="H89" s="207"/>
      <c r="I89" s="102"/>
      <c r="J89" s="36"/>
      <c r="K89" s="36"/>
      <c r="L89" s="36"/>
      <c r="M89" s="36"/>
      <c r="N89" s="36"/>
      <c r="O89" s="36"/>
      <c r="P89" s="36"/>
      <c r="Q89" s="36"/>
      <c r="R89" s="36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ht="13.5" thickBot="1" x14ac:dyDescent="0.25">
      <c r="A90" s="41"/>
      <c r="B90" s="98">
        <v>51</v>
      </c>
      <c r="C90" s="101">
        <f t="shared" ca="1" si="1"/>
        <v>47309</v>
      </c>
      <c r="D90" s="105">
        <f t="shared" si="6"/>
        <v>0</v>
      </c>
      <c r="E90" s="106">
        <f t="shared" si="3"/>
        <v>0</v>
      </c>
      <c r="F90" s="106">
        <f t="shared" si="4"/>
        <v>0</v>
      </c>
      <c r="G90" s="206">
        <f t="shared" si="5"/>
        <v>0</v>
      </c>
      <c r="H90" s="207"/>
      <c r="I90" s="102"/>
      <c r="J90" s="36"/>
      <c r="K90" s="36"/>
      <c r="L90" s="36"/>
      <c r="M90" s="36"/>
      <c r="N90" s="36"/>
      <c r="O90" s="36"/>
      <c r="P90" s="36"/>
      <c r="Q90" s="36"/>
      <c r="R90" s="36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ht="13.5" thickBot="1" x14ac:dyDescent="0.25">
      <c r="A91" s="41"/>
      <c r="B91" s="98">
        <v>52</v>
      </c>
      <c r="C91" s="101">
        <f t="shared" ca="1" si="1"/>
        <v>47340</v>
      </c>
      <c r="D91" s="105">
        <f t="shared" si="6"/>
        <v>0</v>
      </c>
      <c r="E91" s="106">
        <f t="shared" si="3"/>
        <v>0</v>
      </c>
      <c r="F91" s="106">
        <f t="shared" si="4"/>
        <v>0</v>
      </c>
      <c r="G91" s="206">
        <f t="shared" si="5"/>
        <v>0</v>
      </c>
      <c r="H91" s="207"/>
      <c r="I91" s="102"/>
      <c r="J91" s="36"/>
      <c r="K91" s="36"/>
      <c r="L91" s="36"/>
      <c r="M91" s="36"/>
      <c r="N91" s="36"/>
      <c r="O91" s="36"/>
      <c r="P91" s="36"/>
      <c r="Q91" s="36"/>
      <c r="R91" s="36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ht="13.5" thickBot="1" x14ac:dyDescent="0.25">
      <c r="A92" s="41"/>
      <c r="B92" s="98">
        <v>53</v>
      </c>
      <c r="C92" s="101">
        <f t="shared" ca="1" si="1"/>
        <v>47371</v>
      </c>
      <c r="D92" s="105">
        <f t="shared" si="6"/>
        <v>0</v>
      </c>
      <c r="E92" s="106">
        <f t="shared" si="3"/>
        <v>0</v>
      </c>
      <c r="F92" s="106">
        <f t="shared" si="4"/>
        <v>0</v>
      </c>
      <c r="G92" s="206">
        <f t="shared" si="5"/>
        <v>0</v>
      </c>
      <c r="H92" s="207"/>
      <c r="I92" s="102"/>
      <c r="J92" s="36"/>
      <c r="K92" s="36"/>
      <c r="L92" s="36"/>
      <c r="M92" s="36"/>
      <c r="N92" s="36"/>
      <c r="O92" s="36"/>
      <c r="P92" s="36"/>
      <c r="Q92" s="36"/>
      <c r="R92" s="36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ht="13.5" thickBot="1" x14ac:dyDescent="0.25">
      <c r="A93" s="41"/>
      <c r="B93" s="98">
        <v>54</v>
      </c>
      <c r="C93" s="101">
        <f t="shared" ca="1" si="1"/>
        <v>47401</v>
      </c>
      <c r="D93" s="105">
        <f t="shared" si="6"/>
        <v>0</v>
      </c>
      <c r="E93" s="106">
        <f t="shared" si="3"/>
        <v>0</v>
      </c>
      <c r="F93" s="106">
        <f t="shared" si="4"/>
        <v>0</v>
      </c>
      <c r="G93" s="206">
        <f t="shared" si="5"/>
        <v>0</v>
      </c>
      <c r="H93" s="207"/>
      <c r="I93" s="102"/>
      <c r="J93" s="36"/>
      <c r="K93" s="36"/>
      <c r="L93" s="36"/>
      <c r="M93" s="36"/>
      <c r="N93" s="36"/>
      <c r="O93" s="36"/>
      <c r="P93" s="36"/>
      <c r="Q93" s="36"/>
      <c r="R93" s="36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ht="13.5" thickBot="1" x14ac:dyDescent="0.25">
      <c r="A94" s="41"/>
      <c r="B94" s="98">
        <v>55</v>
      </c>
      <c r="C94" s="101">
        <f t="shared" ca="1" si="1"/>
        <v>47432</v>
      </c>
      <c r="D94" s="105">
        <f t="shared" si="6"/>
        <v>0</v>
      </c>
      <c r="E94" s="106">
        <f t="shared" si="3"/>
        <v>0</v>
      </c>
      <c r="F94" s="106">
        <f t="shared" si="4"/>
        <v>0</v>
      </c>
      <c r="G94" s="206">
        <f t="shared" si="5"/>
        <v>0</v>
      </c>
      <c r="H94" s="207"/>
      <c r="I94" s="102"/>
      <c r="J94" s="36"/>
      <c r="K94" s="36"/>
      <c r="L94" s="36"/>
      <c r="M94" s="36"/>
      <c r="N94" s="36"/>
      <c r="O94" s="36"/>
      <c r="P94" s="36"/>
      <c r="Q94" s="36"/>
      <c r="R94" s="36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ht="13.5" thickBot="1" x14ac:dyDescent="0.25">
      <c r="A95" s="41"/>
      <c r="B95" s="98">
        <v>56</v>
      </c>
      <c r="C95" s="101">
        <f t="shared" ca="1" si="1"/>
        <v>47462</v>
      </c>
      <c r="D95" s="105">
        <f t="shared" si="6"/>
        <v>0</v>
      </c>
      <c r="E95" s="106">
        <f t="shared" si="3"/>
        <v>0</v>
      </c>
      <c r="F95" s="106">
        <f t="shared" si="4"/>
        <v>0</v>
      </c>
      <c r="G95" s="206">
        <f t="shared" si="5"/>
        <v>0</v>
      </c>
      <c r="H95" s="207"/>
      <c r="I95" s="102"/>
      <c r="J95" s="36"/>
      <c r="K95" s="36"/>
      <c r="L95" s="36"/>
      <c r="M95" s="36"/>
      <c r="N95" s="36"/>
      <c r="O95" s="36"/>
      <c r="P95" s="36"/>
      <c r="Q95" s="36"/>
      <c r="R95" s="36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ht="13.5" thickBot="1" x14ac:dyDescent="0.25">
      <c r="A96" s="41"/>
      <c r="B96" s="98">
        <v>57</v>
      </c>
      <c r="C96" s="101">
        <f t="shared" ca="1" si="1"/>
        <v>47493</v>
      </c>
      <c r="D96" s="105">
        <f t="shared" si="6"/>
        <v>0</v>
      </c>
      <c r="E96" s="106">
        <f t="shared" si="3"/>
        <v>0</v>
      </c>
      <c r="F96" s="106">
        <f t="shared" si="4"/>
        <v>0</v>
      </c>
      <c r="G96" s="206">
        <f t="shared" si="5"/>
        <v>0</v>
      </c>
      <c r="H96" s="207"/>
      <c r="I96" s="102"/>
      <c r="J96" s="36"/>
      <c r="K96" s="36"/>
      <c r="L96" s="36"/>
      <c r="M96" s="36"/>
      <c r="N96" s="36"/>
      <c r="O96" s="36"/>
      <c r="P96" s="36"/>
      <c r="Q96" s="36"/>
      <c r="R96" s="36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ht="13.5" thickBot="1" x14ac:dyDescent="0.25">
      <c r="A97" s="41"/>
      <c r="B97" s="98">
        <v>58</v>
      </c>
      <c r="C97" s="101">
        <f t="shared" ca="1" si="1"/>
        <v>47524</v>
      </c>
      <c r="D97" s="105">
        <f t="shared" si="6"/>
        <v>0</v>
      </c>
      <c r="E97" s="106">
        <f t="shared" si="3"/>
        <v>0</v>
      </c>
      <c r="F97" s="106">
        <f t="shared" si="4"/>
        <v>0</v>
      </c>
      <c r="G97" s="206">
        <f t="shared" si="5"/>
        <v>0</v>
      </c>
      <c r="H97" s="207"/>
      <c r="I97" s="102"/>
      <c r="J97" s="36"/>
      <c r="K97" s="36"/>
      <c r="L97" s="36"/>
      <c r="M97" s="36"/>
      <c r="N97" s="36"/>
      <c r="O97" s="36"/>
      <c r="P97" s="36"/>
      <c r="Q97" s="36"/>
      <c r="R97" s="36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ht="13.5" thickBot="1" x14ac:dyDescent="0.25">
      <c r="A98" s="41"/>
      <c r="B98" s="98">
        <v>59</v>
      </c>
      <c r="C98" s="101">
        <f t="shared" ca="1" si="1"/>
        <v>47552</v>
      </c>
      <c r="D98" s="105">
        <f t="shared" si="6"/>
        <v>0</v>
      </c>
      <c r="E98" s="106">
        <f t="shared" si="3"/>
        <v>0</v>
      </c>
      <c r="F98" s="106">
        <f t="shared" si="4"/>
        <v>0</v>
      </c>
      <c r="G98" s="206">
        <f t="shared" si="5"/>
        <v>0</v>
      </c>
      <c r="H98" s="207"/>
      <c r="I98" s="102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ht="13.5" thickBot="1" x14ac:dyDescent="0.25">
      <c r="A99" s="41"/>
      <c r="B99" s="98">
        <v>60</v>
      </c>
      <c r="C99" s="101">
        <f t="shared" ca="1" si="1"/>
        <v>47583</v>
      </c>
      <c r="D99" s="105">
        <f t="shared" si="6"/>
        <v>0</v>
      </c>
      <c r="E99" s="106">
        <f t="shared" si="3"/>
        <v>0</v>
      </c>
      <c r="F99" s="106">
        <f t="shared" si="4"/>
        <v>0</v>
      </c>
      <c r="G99" s="206">
        <f t="shared" si="5"/>
        <v>0</v>
      </c>
      <c r="H99" s="207"/>
      <c r="I99" s="102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ht="16.5" thickBot="1" x14ac:dyDescent="0.25">
      <c r="A100" s="41"/>
      <c r="B100" s="210" t="s">
        <v>1</v>
      </c>
      <c r="C100" s="211"/>
      <c r="D100" s="91">
        <f>SUM(D40:D99)</f>
        <v>99999.997199999969</v>
      </c>
      <c r="E100" s="91">
        <f>SUM(E40:E99)</f>
        <v>74849.99790419999</v>
      </c>
      <c r="F100" s="97">
        <f>SUM(F40:F99)</f>
        <v>18.867924000000006</v>
      </c>
      <c r="G100" s="208">
        <f>SUM(G40:H99)</f>
        <v>174868.86302819999</v>
      </c>
      <c r="H100" s="209"/>
      <c r="I100" s="102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x14ac:dyDescent="0.2">
      <c r="A101" s="41"/>
      <c r="B101" s="2"/>
      <c r="C101" s="2"/>
      <c r="D101" s="2"/>
      <c r="E101" s="2"/>
      <c r="F101" s="2"/>
      <c r="G101" s="29"/>
      <c r="I101" s="102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x14ac:dyDescent="0.2">
      <c r="A102" s="41"/>
      <c r="B102" s="2"/>
      <c r="C102" s="21"/>
      <c r="D102" s="22"/>
      <c r="E102" s="204" t="s">
        <v>6</v>
      </c>
      <c r="F102" s="204"/>
      <c r="G102" s="204"/>
      <c r="I102" s="102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x14ac:dyDescent="0.2">
      <c r="A103" s="41"/>
      <c r="B103" s="2"/>
      <c r="C103" s="23"/>
      <c r="D103" s="2"/>
      <c r="E103" s="24" t="s">
        <v>7</v>
      </c>
      <c r="F103" s="25"/>
      <c r="G103" s="33"/>
      <c r="I103" s="102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x14ac:dyDescent="0.2">
      <c r="A104" s="41"/>
      <c r="B104" s="42"/>
      <c r="C104" s="42"/>
      <c r="D104" s="42"/>
      <c r="E104" s="42"/>
      <c r="F104" s="42"/>
      <c r="G104" s="103"/>
      <c r="H104" s="43"/>
      <c r="I104" s="102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x14ac:dyDescent="0.2">
      <c r="A105" s="41"/>
      <c r="B105" s="42"/>
      <c r="C105" s="42"/>
      <c r="D105" s="42"/>
      <c r="E105" s="42"/>
      <c r="F105" s="42"/>
      <c r="G105" s="103"/>
      <c r="H105" s="43"/>
      <c r="I105" s="4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x14ac:dyDescent="0.2">
      <c r="A106" s="41"/>
      <c r="B106" s="42"/>
      <c r="C106" s="42"/>
      <c r="D106" s="42"/>
      <c r="E106" s="42"/>
      <c r="F106" s="42"/>
      <c r="G106" s="103"/>
      <c r="H106" s="43"/>
      <c r="I106" s="4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x14ac:dyDescent="0.2">
      <c r="A107" s="41"/>
      <c r="B107" s="42"/>
      <c r="C107" s="42"/>
      <c r="D107" s="42"/>
      <c r="E107" s="42"/>
      <c r="F107" s="42"/>
      <c r="G107" s="103"/>
      <c r="H107" s="43"/>
      <c r="I107" s="4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</sheetData>
  <sheetProtection algorithmName="SHA-512" hashValue="/5Nn8sATH+M9285c9pz3a4ScO+ruMAAHv3HRaFNM5eM9jtysUBVaTUVydPvtYZ9b8R11doJenBeE3tPqnrRKBA==" saltValue="BVo++8B/gjveXBmqR4aTfQ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$K$7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37" t="s">
        <v>60</v>
      </c>
      <c r="E2" s="237"/>
      <c r="F2" s="237"/>
      <c r="G2" s="237"/>
      <c r="H2" s="237"/>
      <c r="I2" s="237"/>
      <c r="J2" s="237"/>
      <c r="K2" s="237"/>
    </row>
    <row r="5" spans="2:11" ht="13.15" customHeight="1" x14ac:dyDescent="0.2">
      <c r="B5" s="227" t="s">
        <v>151</v>
      </c>
      <c r="C5" s="227"/>
      <c r="D5" s="176" t="s">
        <v>154</v>
      </c>
      <c r="E5" s="176" t="s">
        <v>49</v>
      </c>
    </row>
    <row r="6" spans="2:11" ht="13.15" customHeight="1" x14ac:dyDescent="0.2">
      <c r="B6" s="228" t="s">
        <v>155</v>
      </c>
      <c r="C6" s="229"/>
      <c r="D6" s="175" t="s">
        <v>61</v>
      </c>
      <c r="E6" s="175" t="s">
        <v>62</v>
      </c>
    </row>
    <row r="7" spans="2:11" x14ac:dyDescent="0.2">
      <c r="B7" s="230"/>
      <c r="C7" s="231"/>
      <c r="D7" s="175" t="s">
        <v>63</v>
      </c>
      <c r="E7" s="175" t="s">
        <v>64</v>
      </c>
    </row>
    <row r="8" spans="2:11" x14ac:dyDescent="0.2">
      <c r="B8" s="230"/>
      <c r="C8" s="231"/>
      <c r="D8" s="175" t="s">
        <v>65</v>
      </c>
      <c r="E8" s="175" t="s">
        <v>66</v>
      </c>
    </row>
    <row r="9" spans="2:11" x14ac:dyDescent="0.2">
      <c r="B9" s="230"/>
      <c r="C9" s="231"/>
      <c r="D9" s="175" t="s">
        <v>67</v>
      </c>
      <c r="E9" s="175" t="s">
        <v>68</v>
      </c>
    </row>
    <row r="10" spans="2:11" x14ac:dyDescent="0.2">
      <c r="B10" s="230"/>
      <c r="C10" s="231"/>
      <c r="D10" s="175" t="s">
        <v>69</v>
      </c>
      <c r="E10" s="175" t="s">
        <v>57</v>
      </c>
    </row>
    <row r="11" spans="2:11" x14ac:dyDescent="0.2">
      <c r="B11" s="230"/>
      <c r="C11" s="231"/>
      <c r="D11" s="175" t="s">
        <v>70</v>
      </c>
      <c r="E11" s="175" t="s">
        <v>71</v>
      </c>
    </row>
    <row r="12" spans="2:11" x14ac:dyDescent="0.2">
      <c r="B12" s="230"/>
      <c r="C12" s="231"/>
      <c r="D12" s="175" t="s">
        <v>72</v>
      </c>
      <c r="E12" s="175" t="s">
        <v>73</v>
      </c>
    </row>
    <row r="13" spans="2:11" x14ac:dyDescent="0.2">
      <c r="B13" s="230"/>
      <c r="C13" s="231"/>
      <c r="D13" s="175" t="s">
        <v>74</v>
      </c>
      <c r="E13" s="175" t="s">
        <v>75</v>
      </c>
    </row>
    <row r="14" spans="2:11" x14ac:dyDescent="0.2">
      <c r="B14" s="230"/>
      <c r="C14" s="231"/>
      <c r="D14" s="175" t="s">
        <v>76</v>
      </c>
      <c r="E14" s="175" t="s">
        <v>77</v>
      </c>
    </row>
    <row r="15" spans="2:11" x14ac:dyDescent="0.2">
      <c r="B15" s="230"/>
      <c r="C15" s="231"/>
      <c r="D15" s="175" t="s">
        <v>78</v>
      </c>
      <c r="E15" s="175" t="s">
        <v>79</v>
      </c>
    </row>
    <row r="16" spans="2:11" x14ac:dyDescent="0.2">
      <c r="B16" s="230"/>
      <c r="C16" s="231"/>
      <c r="D16" s="175" t="s">
        <v>80</v>
      </c>
      <c r="E16" s="175" t="s">
        <v>81</v>
      </c>
    </row>
    <row r="17" spans="2:5" x14ac:dyDescent="0.2">
      <c r="B17" s="230"/>
      <c r="C17" s="231"/>
      <c r="D17" s="175" t="s">
        <v>82</v>
      </c>
      <c r="E17" s="175" t="s">
        <v>83</v>
      </c>
    </row>
    <row r="18" spans="2:5" x14ac:dyDescent="0.2">
      <c r="B18" s="230"/>
      <c r="C18" s="231"/>
      <c r="D18" s="175" t="s">
        <v>84</v>
      </c>
      <c r="E18" s="175" t="s">
        <v>85</v>
      </c>
    </row>
    <row r="19" spans="2:5" x14ac:dyDescent="0.2">
      <c r="B19" s="230"/>
      <c r="C19" s="231"/>
      <c r="D19" s="175" t="s">
        <v>86</v>
      </c>
      <c r="E19" s="175" t="s">
        <v>87</v>
      </c>
    </row>
    <row r="20" spans="2:5" x14ac:dyDescent="0.2">
      <c r="B20" s="230"/>
      <c r="C20" s="231"/>
      <c r="D20" s="175" t="s">
        <v>88</v>
      </c>
      <c r="E20" s="175" t="s">
        <v>89</v>
      </c>
    </row>
    <row r="21" spans="2:5" x14ac:dyDescent="0.2">
      <c r="B21" s="230"/>
      <c r="C21" s="231"/>
      <c r="D21" s="175" t="s">
        <v>90</v>
      </c>
      <c r="E21" s="175" t="s">
        <v>91</v>
      </c>
    </row>
    <row r="22" spans="2:5" x14ac:dyDescent="0.2">
      <c r="B22" s="230"/>
      <c r="C22" s="231"/>
      <c r="D22" s="175" t="s">
        <v>92</v>
      </c>
      <c r="E22" s="175" t="s">
        <v>93</v>
      </c>
    </row>
    <row r="23" spans="2:5" x14ac:dyDescent="0.2">
      <c r="B23" s="230"/>
      <c r="C23" s="231"/>
      <c r="D23" s="175" t="s">
        <v>94</v>
      </c>
      <c r="E23" s="175" t="s">
        <v>95</v>
      </c>
    </row>
    <row r="24" spans="2:5" x14ac:dyDescent="0.2">
      <c r="B24" s="230"/>
      <c r="C24" s="231"/>
      <c r="D24" s="175" t="s">
        <v>96</v>
      </c>
      <c r="E24" s="175" t="s">
        <v>97</v>
      </c>
    </row>
    <row r="25" spans="2:5" x14ac:dyDescent="0.2">
      <c r="B25" s="230"/>
      <c r="C25" s="231"/>
      <c r="D25" s="175" t="s">
        <v>98</v>
      </c>
      <c r="E25" s="175" t="s">
        <v>99</v>
      </c>
    </row>
    <row r="26" spans="2:5" x14ac:dyDescent="0.2">
      <c r="B26" s="230"/>
      <c r="C26" s="231"/>
      <c r="D26" s="175" t="s">
        <v>100</v>
      </c>
      <c r="E26" s="175" t="s">
        <v>101</v>
      </c>
    </row>
    <row r="27" spans="2:5" x14ac:dyDescent="0.2">
      <c r="B27" s="230"/>
      <c r="C27" s="231"/>
      <c r="D27" s="175" t="s">
        <v>102</v>
      </c>
      <c r="E27" s="175" t="s">
        <v>103</v>
      </c>
    </row>
    <row r="28" spans="2:5" x14ac:dyDescent="0.2">
      <c r="B28" s="230"/>
      <c r="C28" s="231"/>
      <c r="D28" s="175" t="s">
        <v>104</v>
      </c>
      <c r="E28" s="175" t="s">
        <v>105</v>
      </c>
    </row>
    <row r="29" spans="2:5" x14ac:dyDescent="0.2">
      <c r="B29" s="230"/>
      <c r="C29" s="231"/>
      <c r="D29" s="175" t="s">
        <v>50</v>
      </c>
      <c r="E29" s="175" t="s">
        <v>51</v>
      </c>
    </row>
    <row r="30" spans="2:5" x14ac:dyDescent="0.2">
      <c r="B30" s="230"/>
      <c r="C30" s="231"/>
      <c r="D30" s="175" t="s">
        <v>106</v>
      </c>
      <c r="E30" s="175" t="s">
        <v>107</v>
      </c>
    </row>
    <row r="31" spans="2:5" x14ac:dyDescent="0.2">
      <c r="B31" s="230"/>
      <c r="C31" s="231"/>
      <c r="D31" s="175" t="s">
        <v>108</v>
      </c>
      <c r="E31" s="175" t="s">
        <v>109</v>
      </c>
    </row>
    <row r="32" spans="2:5" x14ac:dyDescent="0.2">
      <c r="B32" s="230"/>
      <c r="C32" s="231"/>
      <c r="D32" s="175" t="s">
        <v>110</v>
      </c>
      <c r="E32" s="175" t="s">
        <v>52</v>
      </c>
    </row>
    <row r="33" spans="2:5" x14ac:dyDescent="0.2">
      <c r="B33" s="230"/>
      <c r="C33" s="231"/>
      <c r="D33" s="175" t="s">
        <v>111</v>
      </c>
      <c r="E33" s="175" t="s">
        <v>112</v>
      </c>
    </row>
    <row r="34" spans="2:5" x14ac:dyDescent="0.2">
      <c r="B34" s="230"/>
      <c r="C34" s="231"/>
      <c r="D34" s="175" t="s">
        <v>113</v>
      </c>
      <c r="E34" s="175" t="s">
        <v>114</v>
      </c>
    </row>
    <row r="35" spans="2:5" x14ac:dyDescent="0.2">
      <c r="B35" s="230"/>
      <c r="C35" s="231"/>
      <c r="D35" s="175" t="s">
        <v>117</v>
      </c>
      <c r="E35" s="175" t="s">
        <v>118</v>
      </c>
    </row>
    <row r="36" spans="2:5" x14ac:dyDescent="0.2">
      <c r="B36" s="230"/>
      <c r="C36" s="231"/>
      <c r="D36" s="175" t="s">
        <v>119</v>
      </c>
      <c r="E36" s="175" t="s">
        <v>120</v>
      </c>
    </row>
    <row r="37" spans="2:5" x14ac:dyDescent="0.2">
      <c r="B37" s="230"/>
      <c r="C37" s="231"/>
      <c r="D37" s="175" t="s">
        <v>121</v>
      </c>
      <c r="E37" s="175" t="s">
        <v>122</v>
      </c>
    </row>
    <row r="38" spans="2:5" x14ac:dyDescent="0.2">
      <c r="B38" s="230"/>
      <c r="C38" s="231"/>
      <c r="D38" s="175" t="s">
        <v>123</v>
      </c>
      <c r="E38" s="175" t="s">
        <v>124</v>
      </c>
    </row>
    <row r="39" spans="2:5" x14ac:dyDescent="0.2">
      <c r="B39" s="230"/>
      <c r="C39" s="231"/>
      <c r="D39" s="175" t="s">
        <v>125</v>
      </c>
      <c r="E39" s="175" t="s">
        <v>126</v>
      </c>
    </row>
    <row r="40" spans="2:5" x14ac:dyDescent="0.2">
      <c r="B40" s="230"/>
      <c r="C40" s="231"/>
      <c r="D40" s="175" t="s">
        <v>53</v>
      </c>
      <c r="E40" s="175" t="s">
        <v>127</v>
      </c>
    </row>
    <row r="41" spans="2:5" x14ac:dyDescent="0.2">
      <c r="B41" s="230"/>
      <c r="C41" s="231"/>
      <c r="D41" s="175" t="s">
        <v>128</v>
      </c>
      <c r="E41" s="175" t="s">
        <v>129</v>
      </c>
    </row>
    <row r="42" spans="2:5" x14ac:dyDescent="0.2">
      <c r="B42" s="230"/>
      <c r="C42" s="231"/>
      <c r="D42" s="175" t="s">
        <v>130</v>
      </c>
      <c r="E42" s="175" t="s">
        <v>131</v>
      </c>
    </row>
    <row r="43" spans="2:5" x14ac:dyDescent="0.2">
      <c r="B43" s="230"/>
      <c r="C43" s="231"/>
      <c r="D43" s="175" t="s">
        <v>132</v>
      </c>
      <c r="E43" s="175" t="s">
        <v>133</v>
      </c>
    </row>
    <row r="44" spans="2:5" x14ac:dyDescent="0.2">
      <c r="B44" s="230"/>
      <c r="C44" s="231"/>
      <c r="D44" s="175" t="s">
        <v>134</v>
      </c>
      <c r="E44" s="175" t="s">
        <v>135</v>
      </c>
    </row>
    <row r="45" spans="2:5" x14ac:dyDescent="0.2">
      <c r="B45" s="230"/>
      <c r="C45" s="231"/>
      <c r="D45" s="175" t="s">
        <v>54</v>
      </c>
      <c r="E45" s="175" t="s">
        <v>55</v>
      </c>
    </row>
    <row r="46" spans="2:5" x14ac:dyDescent="0.2">
      <c r="B46" s="230"/>
      <c r="C46" s="231"/>
      <c r="D46" s="175" t="s">
        <v>136</v>
      </c>
      <c r="E46" s="175" t="s">
        <v>137</v>
      </c>
    </row>
    <row r="47" spans="2:5" x14ac:dyDescent="0.2">
      <c r="B47" s="230"/>
      <c r="C47" s="231"/>
      <c r="D47" s="175" t="s">
        <v>138</v>
      </c>
      <c r="E47" s="175" t="s">
        <v>56</v>
      </c>
    </row>
    <row r="48" spans="2:5" x14ac:dyDescent="0.2">
      <c r="B48" s="230"/>
      <c r="C48" s="231"/>
      <c r="D48" s="175" t="s">
        <v>139</v>
      </c>
      <c r="E48" s="175" t="s">
        <v>140</v>
      </c>
    </row>
    <row r="49" spans="2:5" x14ac:dyDescent="0.2">
      <c r="B49" s="230"/>
      <c r="C49" s="231"/>
      <c r="D49" s="175" t="s">
        <v>141</v>
      </c>
      <c r="E49" s="175" t="s">
        <v>142</v>
      </c>
    </row>
    <row r="50" spans="2:5" x14ac:dyDescent="0.2">
      <c r="B50" s="230"/>
      <c r="C50" s="231"/>
      <c r="D50" s="175" t="s">
        <v>145</v>
      </c>
      <c r="E50" s="175" t="s">
        <v>146</v>
      </c>
    </row>
    <row r="51" spans="2:5" x14ac:dyDescent="0.2">
      <c r="B51" s="230"/>
      <c r="C51" s="231"/>
      <c r="D51" s="175" t="s">
        <v>147</v>
      </c>
      <c r="E51" s="175" t="s">
        <v>148</v>
      </c>
    </row>
    <row r="52" spans="2:5" x14ac:dyDescent="0.2">
      <c r="B52" s="230"/>
      <c r="C52" s="231"/>
      <c r="D52" s="175" t="s">
        <v>149</v>
      </c>
      <c r="E52" s="175" t="s">
        <v>150</v>
      </c>
    </row>
    <row r="53" spans="2:5" ht="13.15" customHeight="1" x14ac:dyDescent="0.2">
      <c r="B53" s="232"/>
      <c r="C53" s="233"/>
      <c r="D53" s="175" t="s">
        <v>58</v>
      </c>
      <c r="E53" s="175" t="s">
        <v>59</v>
      </c>
    </row>
    <row r="54" spans="2:5" x14ac:dyDescent="0.2">
      <c r="B54" s="234" t="s">
        <v>152</v>
      </c>
      <c r="C54" s="235"/>
      <c r="D54" s="180" t="s">
        <v>115</v>
      </c>
      <c r="E54" s="180" t="s">
        <v>116</v>
      </c>
    </row>
    <row r="55" spans="2:5" x14ac:dyDescent="0.2">
      <c r="B55" s="236" t="s">
        <v>153</v>
      </c>
      <c r="C55" s="236"/>
      <c r="D55" s="175" t="s">
        <v>143</v>
      </c>
      <c r="E55" s="175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3" t="s">
        <v>16</v>
      </c>
      <c r="B1" s="254"/>
      <c r="C1" s="254"/>
      <c r="D1" s="255"/>
      <c r="E1" s="57">
        <v>5000</v>
      </c>
      <c r="F1" s="58" t="s">
        <v>12</v>
      </c>
      <c r="G1" s="58" t="s">
        <v>11</v>
      </c>
    </row>
    <row r="2" spans="1:8" x14ac:dyDescent="0.2">
      <c r="A2" s="59"/>
      <c r="B2" s="4"/>
      <c r="C2" s="59"/>
      <c r="D2" s="4"/>
      <c r="E2" s="60"/>
      <c r="F2" s="61"/>
      <c r="G2" s="34"/>
      <c r="H2" s="4"/>
    </row>
    <row r="3" spans="1:8" x14ac:dyDescent="0.2">
      <c r="A3" s="248" t="s">
        <v>44</v>
      </c>
      <c r="B3" s="249">
        <v>0</v>
      </c>
      <c r="C3" s="249">
        <v>0</v>
      </c>
      <c r="D3" s="250">
        <v>0</v>
      </c>
      <c r="E3" s="5"/>
      <c r="F3" s="6"/>
      <c r="G3" s="5"/>
    </row>
    <row r="4" spans="1:8" x14ac:dyDescent="0.2">
      <c r="A4" s="59"/>
      <c r="B4" s="4"/>
      <c r="C4" s="59"/>
      <c r="D4" s="4"/>
      <c r="E4" s="63"/>
      <c r="F4" s="61"/>
      <c r="G4" s="34"/>
      <c r="H4" s="4"/>
    </row>
    <row r="5" spans="1:8" x14ac:dyDescent="0.2">
      <c r="A5" s="248" t="s">
        <v>45</v>
      </c>
      <c r="B5" s="249">
        <v>0</v>
      </c>
      <c r="C5" s="249">
        <v>0</v>
      </c>
      <c r="D5" s="250">
        <v>0</v>
      </c>
      <c r="E5" s="5"/>
      <c r="F5" s="6"/>
      <c r="G5" s="6"/>
    </row>
    <row r="6" spans="1:8" x14ac:dyDescent="0.2">
      <c r="A6" s="59"/>
      <c r="B6" s="4"/>
      <c r="C6" s="59"/>
      <c r="D6" s="4"/>
      <c r="E6" s="64"/>
      <c r="F6" s="61"/>
      <c r="G6" s="34"/>
      <c r="H6" s="4"/>
    </row>
    <row r="7" spans="1:8" x14ac:dyDescent="0.2">
      <c r="A7" s="248" t="s">
        <v>46</v>
      </c>
      <c r="B7" s="249">
        <v>0</v>
      </c>
      <c r="C7" s="249">
        <v>0</v>
      </c>
      <c r="D7" s="250">
        <v>0</v>
      </c>
      <c r="E7" s="5"/>
      <c r="F7" s="6"/>
      <c r="G7" s="6"/>
    </row>
    <row r="8" spans="1:8" x14ac:dyDescent="0.2">
      <c r="A8" s="59"/>
      <c r="B8" s="4"/>
      <c r="C8" s="59"/>
      <c r="D8" s="4"/>
      <c r="E8" s="63"/>
      <c r="F8" s="61"/>
      <c r="G8" s="34"/>
      <c r="H8" s="4"/>
    </row>
    <row r="9" spans="1:8" x14ac:dyDescent="0.2">
      <c r="A9" s="248" t="s">
        <v>158</v>
      </c>
      <c r="B9" s="249"/>
      <c r="C9" s="249"/>
      <c r="D9" s="250"/>
      <c r="E9" s="65"/>
      <c r="F9" s="6"/>
      <c r="G9" s="6"/>
    </row>
    <row r="10" spans="1:8" x14ac:dyDescent="0.2">
      <c r="A10" s="66"/>
      <c r="B10" s="7"/>
      <c r="C10" s="66"/>
      <c r="D10" s="67"/>
      <c r="E10" s="36"/>
      <c r="F10" s="61"/>
      <c r="G10" s="68"/>
      <c r="H10" s="7"/>
    </row>
    <row r="11" spans="1:8" x14ac:dyDescent="0.2">
      <c r="A11" s="66"/>
      <c r="B11" s="7"/>
      <c r="C11" s="66"/>
      <c r="D11" s="69"/>
      <c r="E11" s="36"/>
      <c r="F11" s="61"/>
      <c r="G11" s="68"/>
      <c r="H11" s="7"/>
    </row>
    <row r="12" spans="1:8" x14ac:dyDescent="0.2">
      <c r="A12" s="248" t="s">
        <v>157</v>
      </c>
      <c r="B12" s="249">
        <v>0</v>
      </c>
      <c r="C12" s="249">
        <v>0</v>
      </c>
      <c r="D12" s="250">
        <v>0</v>
      </c>
      <c r="E12" s="8"/>
      <c r="F12" s="8"/>
      <c r="G12" s="9"/>
      <c r="H12" s="7"/>
    </row>
    <row r="13" spans="1:8" x14ac:dyDescent="0.2">
      <c r="A13" s="39"/>
      <c r="B13" s="39"/>
      <c r="C13" s="39"/>
      <c r="D13" s="39"/>
      <c r="E13" s="70"/>
      <c r="F13" s="71"/>
      <c r="G13" s="72"/>
      <c r="H13" s="7"/>
    </row>
    <row r="14" spans="1:8" x14ac:dyDescent="0.2">
      <c r="A14" s="248" t="s">
        <v>47</v>
      </c>
      <c r="B14" s="249">
        <v>0</v>
      </c>
      <c r="C14" s="249">
        <v>0</v>
      </c>
      <c r="D14" s="250">
        <v>0</v>
      </c>
      <c r="E14" s="55"/>
      <c r="F14" s="56"/>
      <c r="G14" s="9"/>
      <c r="H14" s="7"/>
    </row>
    <row r="15" spans="1:8" x14ac:dyDescent="0.2">
      <c r="A15" s="62"/>
      <c r="B15" s="62"/>
      <c r="C15" s="62"/>
      <c r="D15" s="62"/>
      <c r="E15" s="73"/>
      <c r="F15" s="71"/>
      <c r="G15" s="72"/>
      <c r="H15" s="7"/>
    </row>
    <row r="16" spans="1:8" x14ac:dyDescent="0.2">
      <c r="A16" s="248" t="s">
        <v>156</v>
      </c>
      <c r="B16" s="249">
        <v>0</v>
      </c>
      <c r="C16" s="249">
        <v>0</v>
      </c>
      <c r="D16" s="250">
        <v>0</v>
      </c>
      <c r="E16" s="13"/>
      <c r="F16" s="6"/>
      <c r="G16" s="6"/>
      <c r="H16" s="7"/>
    </row>
    <row r="17" spans="1:8" x14ac:dyDescent="0.2">
      <c r="A17" s="39"/>
      <c r="B17" s="39"/>
      <c r="C17" s="39"/>
      <c r="D17" s="39"/>
      <c r="E17" s="63"/>
      <c r="F17" s="71"/>
      <c r="G17" s="72"/>
      <c r="H17" s="7"/>
    </row>
    <row r="18" spans="1:8" x14ac:dyDescent="0.2">
      <c r="A18" s="39" t="s">
        <v>159</v>
      </c>
      <c r="B18" s="39"/>
      <c r="C18" s="39"/>
      <c r="D18" s="39"/>
      <c r="E18" s="63"/>
      <c r="F18" s="71"/>
      <c r="G18" s="72"/>
      <c r="H18" s="7"/>
    </row>
    <row r="19" spans="1:8" ht="33.75" x14ac:dyDescent="0.2">
      <c r="A19" s="251" t="s">
        <v>8</v>
      </c>
      <c r="B19" s="252"/>
      <c r="C19" s="74" t="s">
        <v>0</v>
      </c>
      <c r="D19" s="75" t="s">
        <v>29</v>
      </c>
      <c r="E19" s="76" t="s">
        <v>14</v>
      </c>
      <c r="F19" s="76" t="s">
        <v>13</v>
      </c>
      <c r="G19" s="76" t="s">
        <v>15</v>
      </c>
      <c r="H19" s="76" t="s">
        <v>28</v>
      </c>
    </row>
    <row r="20" spans="1:8" x14ac:dyDescent="0.2">
      <c r="A20" s="238" t="s">
        <v>20</v>
      </c>
      <c r="B20" s="239"/>
      <c r="C20" s="30">
        <f>IF(ISERROR(L16),"",L16)</f>
        <v>0</v>
      </c>
      <c r="D20" s="30">
        <f>IF(ISERROR(L12),"",L12)</f>
        <v>0</v>
      </c>
      <c r="E20" s="53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38" t="s">
        <v>9</v>
      </c>
      <c r="B21" s="239"/>
      <c r="C21" s="31">
        <f>IF(ISERROR(M16),"",M16)</f>
        <v>0</v>
      </c>
      <c r="D21" s="31">
        <f>IF(ISERROR(M12),"",M12)</f>
        <v>0</v>
      </c>
      <c r="E21" s="54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38" t="s">
        <v>18</v>
      </c>
      <c r="B22" s="239"/>
      <c r="C22" s="31">
        <f>IF(ISERROR(N16),"",N16)</f>
        <v>0</v>
      </c>
      <c r="D22" s="31">
        <f>IF(ISERROR(N12),"",N12)</f>
        <v>0</v>
      </c>
      <c r="E22" s="54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38" t="s">
        <v>19</v>
      </c>
      <c r="B23" s="239"/>
      <c r="C23" s="31">
        <f>IF(ISERROR(O16),"",O16)</f>
        <v>0</v>
      </c>
      <c r="D23" s="31">
        <f>IF(ISERROR(O12),"",O12)</f>
        <v>0</v>
      </c>
      <c r="E23" s="54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59"/>
      <c r="B24" s="39"/>
      <c r="C24" s="59"/>
      <c r="D24" s="77"/>
      <c r="E24" s="4"/>
      <c r="F24" s="34"/>
      <c r="G24" s="61"/>
      <c r="H24" s="4"/>
    </row>
    <row r="25" spans="1:8" ht="13.5" thickBot="1" x14ac:dyDescent="0.25">
      <c r="A25" s="78"/>
      <c r="B25" s="39"/>
      <c r="C25" s="78"/>
      <c r="D25" s="79"/>
      <c r="E25" s="80"/>
      <c r="F25" s="72"/>
      <c r="G25" s="71"/>
      <c r="H25" s="7"/>
    </row>
    <row r="26" spans="1:8" ht="18.75" thickBot="1" x14ac:dyDescent="0.25">
      <c r="A26" s="241" t="s">
        <v>30</v>
      </c>
      <c r="B26" s="242"/>
      <c r="C26" s="242"/>
      <c r="D26" s="242"/>
      <c r="E26" s="242"/>
      <c r="F26" s="242"/>
      <c r="G26" s="243"/>
    </row>
    <row r="27" spans="1:8" ht="45.75" thickBot="1" x14ac:dyDescent="0.25">
      <c r="A27" s="244" t="s">
        <v>2</v>
      </c>
      <c r="B27" s="245"/>
      <c r="C27" s="81" t="s">
        <v>4</v>
      </c>
      <c r="D27" s="81" t="s">
        <v>17</v>
      </c>
      <c r="E27" s="81" t="s">
        <v>5</v>
      </c>
      <c r="F27" s="246" t="s">
        <v>3</v>
      </c>
      <c r="G27" s="247"/>
    </row>
    <row r="28" spans="1:8" x14ac:dyDescent="0.2">
      <c r="A28" s="4"/>
      <c r="B28" s="4"/>
      <c r="C28" s="4"/>
      <c r="D28" s="4"/>
      <c r="E28" s="4"/>
      <c r="F28" s="34"/>
      <c r="G28" s="61"/>
    </row>
    <row r="29" spans="1:8" x14ac:dyDescent="0.2">
      <c r="A29" s="4" t="s">
        <v>6</v>
      </c>
      <c r="B29" s="82"/>
      <c r="C29" s="83"/>
      <c r="D29" s="240"/>
      <c r="E29" s="240"/>
      <c r="F29" s="240"/>
      <c r="G29" s="61"/>
    </row>
    <row r="30" spans="1:8" x14ac:dyDescent="0.2">
      <c r="A30" s="4" t="s">
        <v>7</v>
      </c>
      <c r="B30" s="84"/>
      <c r="C30" s="4"/>
      <c r="D30" s="26"/>
      <c r="E30" s="27"/>
      <c r="F30" s="85"/>
      <c r="G30" s="61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A4" sqref="A4"/>
    </sheetView>
  </sheetViews>
  <sheetFormatPr defaultColWidth="9.140625" defaultRowHeight="12.75" x14ac:dyDescent="0.2"/>
  <cols>
    <col min="1" max="1" width="31" style="114" customWidth="1"/>
    <col min="2" max="2" width="11.42578125" style="114" customWidth="1"/>
    <col min="3" max="4" width="9.140625" style="114"/>
    <col min="5" max="5" width="17.28515625" style="114" customWidth="1"/>
    <col min="6" max="6" width="16.85546875" style="114" customWidth="1"/>
    <col min="7" max="7" width="22.28515625" style="114" customWidth="1"/>
    <col min="8" max="8" width="17.5703125" style="114" customWidth="1"/>
    <col min="9" max="9" width="9.140625" style="114" customWidth="1"/>
    <col min="10" max="10" width="15.5703125" style="114" bestFit="1" customWidth="1"/>
    <col min="11" max="11" width="9.140625" style="114" customWidth="1"/>
    <col min="12" max="15" width="17.5703125" style="114" customWidth="1"/>
    <col min="16" max="16384" width="9.140625" style="114"/>
  </cols>
  <sheetData>
    <row r="1" spans="1:16" x14ac:dyDescent="0.2">
      <c r="B1" s="114" t="s">
        <v>21</v>
      </c>
      <c r="C1" s="114" t="s">
        <v>22</v>
      </c>
      <c r="D1" s="114" t="s">
        <v>23</v>
      </c>
      <c r="E1" s="114" t="s">
        <v>24</v>
      </c>
      <c r="F1" s="114" t="s">
        <v>25</v>
      </c>
      <c r="I1" s="114" t="s">
        <v>36</v>
      </c>
      <c r="J1" s="114" t="s">
        <v>37</v>
      </c>
      <c r="K1" s="114" t="s">
        <v>37</v>
      </c>
      <c r="L1" s="114" t="s">
        <v>0</v>
      </c>
      <c r="N1" s="114" t="s">
        <v>34</v>
      </c>
      <c r="O1" s="114" t="s">
        <v>35</v>
      </c>
    </row>
    <row r="2" spans="1:16" x14ac:dyDescent="0.2">
      <c r="D2" s="115"/>
      <c r="E2" s="115"/>
      <c r="F2" s="115"/>
      <c r="H2" s="114" t="s">
        <v>27</v>
      </c>
      <c r="I2" s="114" t="s">
        <v>26</v>
      </c>
      <c r="J2" s="114" t="s">
        <v>38</v>
      </c>
      <c r="K2" s="114" t="s">
        <v>10</v>
      </c>
      <c r="L2" s="116"/>
      <c r="M2" s="116"/>
      <c r="N2" s="116"/>
      <c r="O2" s="116"/>
    </row>
    <row r="3" spans="1:16" x14ac:dyDescent="0.2">
      <c r="A3" s="114">
        <v>1</v>
      </c>
      <c r="B3" s="114">
        <v>2</v>
      </c>
      <c r="C3" s="114">
        <v>3</v>
      </c>
      <c r="D3" s="114">
        <v>4</v>
      </c>
      <c r="E3" s="114">
        <v>5</v>
      </c>
      <c r="F3" s="114">
        <v>6</v>
      </c>
      <c r="G3" s="114">
        <v>7</v>
      </c>
      <c r="H3" s="114">
        <v>8</v>
      </c>
      <c r="I3" s="114">
        <v>9</v>
      </c>
      <c r="J3" s="114">
        <v>10</v>
      </c>
      <c r="L3" s="114">
        <v>11</v>
      </c>
      <c r="N3" s="114">
        <v>12</v>
      </c>
      <c r="O3" s="114">
        <v>13</v>
      </c>
      <c r="P3" s="114">
        <v>14</v>
      </c>
    </row>
    <row r="4" spans="1:16" s="149" customFormat="1" x14ac:dyDescent="0.2">
      <c r="A4" s="149" t="s">
        <v>160</v>
      </c>
      <c r="B4" s="119">
        <v>94339.62</v>
      </c>
      <c r="C4" s="149">
        <v>24</v>
      </c>
      <c r="D4" s="150">
        <v>1E-4</v>
      </c>
      <c r="E4" s="150">
        <v>0</v>
      </c>
      <c r="F4" s="150">
        <v>4.99E-2</v>
      </c>
      <c r="G4" s="149" t="str">
        <f>I$2&amp;" "&amp;B4&amp;" "&amp;H$2</f>
        <v>max. 94339,62 грн.</v>
      </c>
      <c r="H4" s="181">
        <f>B4+B4*K4</f>
        <v>99999.997199999998</v>
      </c>
      <c r="I4" s="149">
        <v>9</v>
      </c>
      <c r="K4" s="182">
        <v>0.06</v>
      </c>
      <c r="L4" s="151">
        <f t="shared" ref="L4" si="0">D4/12/(1-1/POWER(1+D4/12,C4))*H4+H4*F4</f>
        <v>9157.1004518882764</v>
      </c>
      <c r="M4" s="152">
        <f>F4</f>
        <v>4.99E-2</v>
      </c>
      <c r="N4" s="152"/>
      <c r="O4" s="153">
        <v>0</v>
      </c>
      <c r="P4" s="149">
        <v>943.39599999999996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I-Shop Ідея_0-9-24</vt:lpstr>
      <vt:lpstr>Перелік партнерів</vt:lpstr>
      <vt:lpstr>Назви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2025-04-10T14:39:55Z</dcterms:modified>
</cp:coreProperties>
</file>