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I-Shop_Satellite\"/>
    </mc:Choice>
  </mc:AlternateContent>
  <xr:revisionPtr revIDLastSave="0" documentId="13_ncr:1_{4B6402DF-4067-4CDB-A3B9-0F09CB25F556}" xr6:coauthVersionLast="47" xr6:coauthVersionMax="47" xr10:uidLastSave="{00000000-0000-0000-0000-000000000000}"/>
  <workbookProtection workbookAlgorithmName="SHA-512" workbookHashValue="ouDYGHvnFrE5AF6/PtrarC+KNdPkgJg4rrBJXzgV7+V1AdoyMtA56zPKBkjymHvL0+YOeZUyfq1SHbhfQearKQ==" workbookSaltValue="eq2yAXSq8sOiW8xig+xjrA==" workbookSpinCount="100000" lockStructure="1"/>
  <bookViews>
    <workbookView xWindow="-120" yWindow="-120" windowWidth="29040" windowHeight="15990" tabRatio="863" xr2:uid="{00000000-000D-0000-FFFF-FFFF00000000}"/>
  </bookViews>
  <sheets>
    <sheet name=" I-Shop_Дзвінок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 I-Shop_Дзвінок'!$A$1:$I$103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8" i="164"/>
  <c r="L9" i="164"/>
  <c r="M6" i="165"/>
  <c r="H6" i="165"/>
  <c r="L6" i="165" s="1"/>
  <c r="G6" i="165"/>
  <c r="H3" i="164"/>
  <c r="L7" i="164"/>
  <c r="H5" i="165" l="1"/>
  <c r="H4" i="165"/>
  <c r="F2" i="164"/>
  <c r="E2" i="164"/>
  <c r="G2" i="164"/>
  <c r="G3" i="164"/>
  <c r="G39" i="164" l="1"/>
  <c r="M5" i="165" l="1"/>
  <c r="L5" i="165"/>
  <c r="G5" i="165"/>
  <c r="G4" i="165" l="1"/>
  <c r="B28" i="164" l="1"/>
  <c r="B26" i="164"/>
  <c r="B24" i="164"/>
  <c r="B11" i="164"/>
  <c r="F17" i="164" l="1"/>
  <c r="M4" i="165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2" i="161"/>
  <c r="F20" i="161"/>
  <c r="F66" i="164" l="1"/>
  <c r="F70" i="164"/>
  <c r="F74" i="164"/>
  <c r="F78" i="164"/>
  <c r="F82" i="164"/>
  <c r="F86" i="164"/>
  <c r="F90" i="164"/>
  <c r="F94" i="164"/>
  <c r="F98" i="164"/>
  <c r="F67" i="164"/>
  <c r="F71" i="164"/>
  <c r="F75" i="164"/>
  <c r="F79" i="164"/>
  <c r="F83" i="164"/>
  <c r="F87" i="164"/>
  <c r="F91" i="164"/>
  <c r="F95" i="164"/>
  <c r="F99" i="164"/>
  <c r="F64" i="164"/>
  <c r="F68" i="164"/>
  <c r="F72" i="164"/>
  <c r="F76" i="164"/>
  <c r="F80" i="164"/>
  <c r="F84" i="164"/>
  <c r="F88" i="164"/>
  <c r="F92" i="164"/>
  <c r="F96" i="164"/>
  <c r="F65" i="164"/>
  <c r="F69" i="164"/>
  <c r="F73" i="164"/>
  <c r="F77" i="164"/>
  <c r="F81" i="164"/>
  <c r="F85" i="164"/>
  <c r="F89" i="164"/>
  <c r="F93" i="164"/>
  <c r="F97" i="164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F54" i="164" s="1"/>
  <c r="E78" i="164"/>
  <c r="E97" i="164"/>
  <c r="E94" i="164"/>
  <c r="E80" i="164"/>
  <c r="E85" i="164"/>
  <c r="F23" i="161"/>
  <c r="G21" i="161"/>
  <c r="E66" i="164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75" i="164"/>
  <c r="E89" i="164"/>
  <c r="E92" i="164"/>
  <c r="E84" i="164"/>
  <c r="E64" i="164"/>
  <c r="F63" i="164" l="1"/>
  <c r="F59" i="164"/>
  <c r="F60" i="164"/>
  <c r="F61" i="164"/>
  <c r="F56" i="164"/>
  <c r="F55" i="164"/>
  <c r="F57" i="164"/>
  <c r="F62" i="164"/>
  <c r="F58" i="164"/>
  <c r="E71" i="164"/>
  <c r="F47" i="164"/>
  <c r="F41" i="164"/>
  <c r="F45" i="164"/>
  <c r="F49" i="164"/>
  <c r="F53" i="164"/>
  <c r="F52" i="164"/>
  <c r="F40" i="164"/>
  <c r="F42" i="164"/>
  <c r="F46" i="164"/>
  <c r="F50" i="164"/>
  <c r="F43" i="164"/>
  <c r="F51" i="164"/>
  <c r="F44" i="164"/>
  <c r="F48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G75" i="164" s="1"/>
  <c r="D71" i="164"/>
  <c r="D67" i="164"/>
  <c r="D84" i="164"/>
  <c r="G84" i="164" s="1"/>
  <c r="D80" i="164"/>
  <c r="G80" i="164" s="1"/>
  <c r="D76" i="164"/>
  <c r="G76" i="164" s="1"/>
  <c r="D72" i="164"/>
  <c r="D68" i="164"/>
  <c r="D64" i="164"/>
  <c r="G64" i="164" s="1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G59" i="164" l="1"/>
  <c r="F100" i="164"/>
  <c r="G71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<sst xmlns="http://schemas.openxmlformats.org/spreadsheetml/2006/main" count="171" uniqueCount="163">
  <si>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</si>
  <si>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</si>
  <si>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</si>
  <si>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</si>
  <si>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</si>
  <si>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</si>
  <si>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</si>
  <si>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</si>
  <si>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</si>
  <si>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</si>
  <si>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</si>
  <si>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</si>
  <si>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</si>
  <si>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</si>
  <si>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</si>
  <si>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</si>
  <si>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</si>
  <si>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</si>
  <si>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</si>
  <si>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</si>
  <si>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</si>
  <si>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</si>
  <si>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</si>
  <si>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</si>
  <si>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</si>
  <si>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</si>
  <si>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</si>
  <si>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</si>
  <si>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</si>
  <si>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</si>
  <si>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</si>
  <si>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</si>
  <si>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</si>
  <si>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</si>
  <si>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</si>
  <si>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</si>
  <si>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</si>
  <si>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</si>
  <si>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</si>
  <si>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</si>
  <si>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</si>
  <si>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</si>
  <si>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</si>
  <si>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</si>
  <si>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</si>
  <si>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</si>
  <si>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</si>
  <si>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</si>
  <si>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</si>
  <si>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</si>
  <si>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</si>
  <si>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</si>
  <si>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</si>
  <si>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</si>
  <si>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</si>
  <si>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</si>
  <si>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</si>
  <si>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</si>
  <si>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</si>
  <si>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</si>
  <si>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</si>
  <si>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</si>
  <si>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</si>
  <si>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</si>
  <si>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</si>
  <si>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</si>
  <si>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</si>
  <si>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</si>
  <si>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</si>
  <si>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</si>
  <si>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</si>
  <si>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</si>
  <si>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</si>
  <si>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</si>
  <si>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</si>
  <si>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</si>
  <si>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</si>
  <si>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</si>
  <si>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</si>
  <si>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</si>
  <si>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</si>
  <si>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</si>
  <si>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</si>
  <si>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</si>
  <si>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</si>
  <si>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</si>
  <si>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</si>
  <si>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</si>
  <si>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</si>
  <si>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</si>
  <si>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</si>
  <si>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</si>
  <si>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</si>
  <si>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</si>
  <si>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</si>
  <si>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</si>
  <si>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</si>
  <si>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</si>
  <si>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</si>
  <si>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</si>
  <si>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</si>
  <si>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</si>
  <si>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</si>
  <si>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</si>
  <si>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</si>
  <si>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</si>
  <si>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</si>
  <si>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</si>
  <si>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</si>
  <si>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</si>
  <si>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</si>
  <si>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</si>
  <si>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</si>
  <si>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</si>
  <si>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</si>
  <si>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</si>
  <si>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</si>
  <si>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</si>
  <si>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</si>
  <si>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</si>
  <si>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</si>
  <si>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</si>
  <si>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</si>
  <si>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</si>
  <si>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</si>
  <si>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</si>
  <si>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</si>
  <si>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</si>
  <si>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</si>
  <si>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</si>
  <si>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</si>
  <si>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</si>
  <si>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</si>
  <si>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</si>
  <si>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</si>
  <si>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</si>
  <si>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</si>
  <si>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</si>
  <si>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</si>
  <si>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</si>
  <si>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</si>
  <si>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</si>
  <si>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</si>
  <si>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</si>
  <si>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</si>
  <si>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</si>
  <si>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</si>
  <si>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</si>
  <si>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</si>
  <si>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</si>
  <si>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</si>
  <si>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</si>
  <si>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</si>
  <si>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</si>
  <si>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</si>
  <si>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</si>
  <si>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</si>
  <si>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</si>
  <si>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</si>
  <si>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</si>
  <si>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Osnova_I-Shop_Дзвінок_0-3-14 міс</t>
  </si>
  <si>
    <t>Osnova_I-Shop_Дзвінок_0-5-14 міс</t>
  </si>
  <si>
    <t>Osnova_I-Shop_Дзвінок_0-10-24 міс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</si>
</sst>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  <font>
      <b/>
      <sz val="16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1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1" fillId="3" borderId="0" xfId="49" applyNumberFormat="1" applyFont="1" applyFill="1" applyAlignment="1">
      <alignment horizontal="center"/>
    </xf>
    <xf numFmtId="0" fontId="41" fillId="3" borderId="0" xfId="49" applyFont="1" applyFill="1"/>
    <xf numFmtId="0" fontId="42" fillId="3" borderId="0" xfId="49" applyFont="1" applyFill="1" applyAlignment="1">
      <alignment horizontal="center"/>
    </xf>
    <xf numFmtId="0" fontId="41" fillId="3" borderId="1" xfId="49" applyFont="1" applyFill="1" applyBorder="1" applyAlignment="1">
      <alignment horizontal="center"/>
    </xf>
    <xf numFmtId="175" fontId="41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1" fillId="3" borderId="0" xfId="49" applyNumberFormat="1" applyFont="1" applyFill="1" applyAlignment="1">
      <alignment horizontal="center"/>
    </xf>
    <xf numFmtId="2" fontId="41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1" fillId="3" borderId="6" xfId="49" applyNumberFormat="1" applyFont="1" applyFill="1" applyBorder="1"/>
    <xf numFmtId="167" fontId="41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1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1" fillId="3" borderId="1" xfId="49" applyNumberFormat="1" applyFont="1" applyFill="1" applyBorder="1" applyAlignment="1">
      <alignment horizontal="center"/>
    </xf>
    <xf numFmtId="1" fontId="32" fillId="3" borderId="0" xfId="49" applyNumberFormat="1" applyFont="1" applyFill="1" applyAlignment="1">
      <alignment horizontal="center" vertical="center"/>
    </xf>
    <xf numFmtId="2" fontId="41" fillId="12" borderId="14" xfId="49" applyNumberFormat="1" applyFont="1" applyFill="1" applyBorder="1" applyAlignment="1">
      <alignment horizontal="center"/>
    </xf>
    <xf numFmtId="0" fontId="41" fillId="0" borderId="36" xfId="49" applyFont="1" applyBorder="1"/>
    <xf numFmtId="0" fontId="42" fillId="0" borderId="38" xfId="49" applyFont="1" applyBorder="1" applyAlignment="1">
      <alignment horizontal="center"/>
    </xf>
    <xf numFmtId="10" fontId="41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1" fillId="0" borderId="40" xfId="49" applyNumberFormat="1" applyFont="1" applyBorder="1" applyAlignment="1">
      <alignment horizontal="left" vertical="center"/>
    </xf>
    <xf numFmtId="1" fontId="41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2" fillId="0" borderId="43" xfId="49" applyNumberFormat="1" applyFont="1" applyBorder="1" applyAlignment="1">
      <alignment horizontal="center"/>
    </xf>
    <xf numFmtId="0" fontId="41" fillId="3" borderId="37" xfId="49" applyFont="1" applyFill="1" applyBorder="1"/>
    <xf numFmtId="10" fontId="42" fillId="0" borderId="42" xfId="49" applyNumberFormat="1" applyFont="1" applyBorder="1" applyAlignment="1">
      <alignment horizontal="center"/>
    </xf>
    <xf numFmtId="170" fontId="42" fillId="0" borderId="42" xfId="49" applyNumberFormat="1" applyFont="1" applyBorder="1" applyAlignment="1">
      <alignment horizontal="center"/>
    </xf>
    <xf numFmtId="10" fontId="42" fillId="0" borderId="44" xfId="49" applyNumberFormat="1" applyFont="1" applyBorder="1" applyAlignment="1">
      <alignment horizontal="center"/>
    </xf>
    <xf numFmtId="172" fontId="42" fillId="0" borderId="44" xfId="49" applyNumberFormat="1" applyFont="1" applyBorder="1" applyAlignment="1">
      <alignment horizontal="center"/>
    </xf>
    <xf numFmtId="14" fontId="46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9" fontId="0" fillId="11" borderId="0" xfId="0" applyNumberFormat="1" applyFill="1" applyProtection="1">
      <protection hidden="1"/>
    </xf>
    <xf numFmtId="2" fontId="0" fillId="11" borderId="0" xfId="0" applyNumberFormat="1" applyFill="1" applyProtection="1">
      <protection hidden="1"/>
    </xf>
    <xf numFmtId="179" fontId="47" fillId="13" borderId="9" xfId="75" applyNumberFormat="1" applyFont="1" applyFill="1" applyBorder="1" applyAlignment="1" applyProtection="1">
      <alignment vertical="top" wrapText="1"/>
      <protection locked="0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0" borderId="0" xfId="49" applyFont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5" fillId="11" borderId="32" xfId="0" applyFont="1" applyFill="1" applyBorder="1" applyAlignment="1">
      <alignment horizontal="center" vertical="center"/>
    </xf>
    <xf numFmtId="0" fontId="43" fillId="11" borderId="33" xfId="0" applyFont="1" applyFill="1" applyBorder="1" applyAlignment="1">
      <alignment horizontal="center" vertical="center"/>
    </xf>
    <xf numFmtId="0" fontId="43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33" fillId="6" borderId="6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left"/>
    </xf>
    <xf numFmtId="167" fontId="3" fillId="3" borderId="0" xfId="72" applyNumberFormat="1" applyFont="1" applyFill="1" applyAlignment="1" applyProtection="1">
      <alignment horizontal="left"/>
    </xf>
    <xf numFmtId="4" fontId="15" fillId="0" borderId="1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4</xdr:col>
      <xdr:colOff>19050</xdr:colOff>
      <xdr:row>3</xdr:row>
      <xdr:rowOff>104774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"/>
          <a:ext cx="233362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186" t="s">
        <v>48</v>
      </c>
      <c r="I1" s="186"/>
    </row>
    <row r="2" spans="1:45" ht="12.75" customHeight="1" x14ac:dyDescent="0.2">
      <c r="A2" s="2"/>
      <c r="B2" s="88"/>
      <c r="C2" s="88"/>
      <c r="D2" s="88"/>
      <c r="E2" s="109">
        <f>VLOOKUP(' I-Shop_Дзвінок'!H2,Лист2!A:P,16,FALSE)</f>
        <v>1000</v>
      </c>
      <c r="F2" s="132">
        <f>VLOOKUP(H$2,Лист2!$A:$H,8,0)</f>
        <v>49999.996800000001</v>
      </c>
      <c r="G2" s="176">
        <f ca="1">TODAY()</f>
        <v>45859</v>
      </c>
      <c r="H2" s="193" t="s">
        <v>162</v>
      </c>
      <c r="I2" s="194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36400</v>
      </c>
      <c r="F3" s="195" t="str">
        <f>IF(E3="x","Збільшіть суму",IF(E3="y","Зменшіть суму",""))</f>
        <v/>
      </c>
      <c r="G3" s="133">
        <f>Назви!B32</f>
        <v>30.4</v>
      </c>
      <c r="H3" s="197">
        <f>VLOOKUP(H$2,Лист2!$A:$H,8,0)</f>
        <v>49999.996800000001</v>
      </c>
      <c r="I3" s="198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196"/>
      <c r="G4" s="112"/>
      <c r="H4" s="161"/>
      <c r="I4" s="120"/>
      <c r="J4" s="35"/>
      <c r="AA4" s="51"/>
    </row>
    <row r="5" spans="1:45" ht="21" thickBot="1" x14ac:dyDescent="0.25">
      <c r="A5" s="1"/>
      <c r="B5" s="199" t="s">
        <v>42</v>
      </c>
      <c r="C5" s="200"/>
      <c r="D5" s="200"/>
      <c r="E5" s="201"/>
      <c r="F5" s="185">
        <v>35000</v>
      </c>
      <c r="G5" s="167" t="s">
        <v>27</v>
      </c>
      <c r="H5" s="168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/>
      <c r="B6" s="188"/>
      <c r="C6" s="188"/>
      <c r="D6" s="188"/>
      <c r="E6" s="188"/>
      <c r="F6" s="188"/>
      <c r="G6" s="188"/>
      <c r="H6" s="188"/>
      <c r="I6" s="169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190" t="s">
        <v>43</v>
      </c>
      <c r="C7" s="191"/>
      <c r="D7" s="191"/>
      <c r="E7" s="192"/>
      <c r="F7" s="162">
        <f>F5+F5*F11+F15+F5*F17</f>
        <v>36400</v>
      </c>
      <c r="G7" s="163"/>
      <c r="H7" s="164"/>
      <c r="I7" s="42"/>
      <c r="J7" s="4"/>
      <c r="K7" s="37"/>
      <c r="L7" s="51" t="str">
        <f>Лист2!A4</f>
        <v>Osnova_I-Shop_Дзвінок_0-3-14 міс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17.25" customHeight="1" x14ac:dyDescent="0.2">
      <c r="A8" s="187"/>
      <c r="B8" s="187"/>
      <c r="C8" s="187"/>
      <c r="D8" s="187"/>
      <c r="E8" s="187"/>
      <c r="F8" s="188"/>
      <c r="G8" s="187"/>
      <c r="H8" s="187"/>
      <c r="I8" s="187"/>
      <c r="J8" s="4"/>
      <c r="K8" s="37"/>
      <c r="L8" s="51" t="str">
        <f>Лист2!A5</f>
        <v>Osnova_I-Shop_Дзвінок_0-5-14 міс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02" t="str">
        <f>Назви!A3</f>
        <v>Процентна ставка, % річних</v>
      </c>
      <c r="C9" s="203">
        <f>Назви!B3</f>
        <v>0</v>
      </c>
      <c r="D9" s="203">
        <f>Назви!C3</f>
        <v>0</v>
      </c>
      <c r="E9" s="203">
        <f>Назви!D3</f>
        <v>0</v>
      </c>
      <c r="F9" s="134">
        <f>VLOOKUP(H$2,Лист2!$A:$G,4,0)</f>
        <v>1E-4</v>
      </c>
      <c r="G9" s="170"/>
      <c r="H9" s="165"/>
      <c r="I9" s="166"/>
      <c r="K9" s="37"/>
      <c r="L9" s="51" t="str">
        <f>Лист2!A6</f>
        <v>Osnova_I-Shop_Дзвінок_0-10-24 міс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1"/>
      <c r="H10" s="139"/>
      <c r="I10" s="150"/>
      <c r="J10" s="4"/>
      <c r="K10" s="37"/>
      <c r="L10" s="51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204" t="str">
        <f>Назви!A5</f>
        <v>Разовий страховий тариф, %</v>
      </c>
      <c r="C11" s="205">
        <f>Назви!B5</f>
        <v>0</v>
      </c>
      <c r="D11" s="205">
        <f>Назви!C5</f>
        <v>0</v>
      </c>
      <c r="E11" s="205">
        <f>Назви!D5</f>
        <v>0</v>
      </c>
      <c r="F11" s="134">
        <f>VLOOKUP(H$2,Лист2!$A:$G,5,0)</f>
        <v>0</v>
      </c>
      <c r="G11" s="174"/>
      <c r="H11" s="172"/>
      <c r="I11" s="120"/>
      <c r="K11" s="37"/>
      <c r="L11" s="51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206" t="s">
        <v>41</v>
      </c>
      <c r="C13" s="206"/>
      <c r="D13" s="206"/>
      <c r="E13" s="204"/>
      <c r="F13" s="140">
        <f>VLOOKUP(H$2,Лист2!$A:$J,9,0)</f>
        <v>10</v>
      </c>
      <c r="G13" s="174"/>
      <c r="H13" s="172"/>
      <c r="I13" s="120"/>
      <c r="J13" s="4"/>
      <c r="K13" s="37"/>
      <c r="L13" s="51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51"/>
      <c r="K14" s="37"/>
      <c r="L14" s="5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206" t="s">
        <v>39</v>
      </c>
      <c r="C15" s="206"/>
      <c r="D15" s="206"/>
      <c r="E15" s="204"/>
      <c r="F15" s="156">
        <f>VLOOKUP(H$2,Лист2!$A:$J,10,0)</f>
        <v>0</v>
      </c>
      <c r="G15" s="174"/>
      <c r="H15" s="172"/>
      <c r="I15" s="120"/>
      <c r="J15" s="51"/>
      <c r="K15" s="37"/>
      <c r="L15" s="51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206" t="s">
        <v>40</v>
      </c>
      <c r="C17" s="206"/>
      <c r="D17" s="206"/>
      <c r="E17" s="206"/>
      <c r="F17" s="134">
        <f>VLOOKUP(H$2,Лист2!$A:$K,11,0)</f>
        <v>0.04</v>
      </c>
      <c r="G17" s="138"/>
      <c r="H17" s="139"/>
      <c r="I17" s="42"/>
      <c r="J17" s="51"/>
      <c r="K17" s="37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204" t="str">
        <f>Назви!A7</f>
        <v xml:space="preserve">Щомісячна плата за обслуговування кредитної заборгованості, % </v>
      </c>
      <c r="C19" s="205">
        <f>Назви!B7</f>
        <v>0</v>
      </c>
      <c r="D19" s="205">
        <f>Назви!C7</f>
        <v>0</v>
      </c>
      <c r="E19" s="229">
        <f>Назви!D7</f>
        <v>0</v>
      </c>
      <c r="F19" s="134">
        <f>VLOOKUP(H$2,Лист2!$A:$G,6,0)</f>
        <v>3.5000000000000003E-2</v>
      </c>
      <c r="G19" s="174"/>
      <c r="H19" s="172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204" t="str">
        <f>Назви!A9</f>
        <v>Термін кредитування (міс.)</v>
      </c>
      <c r="C21" s="205">
        <f>Назви!B9</f>
        <v>0</v>
      </c>
      <c r="D21" s="205">
        <f>Назви!C9</f>
        <v>0</v>
      </c>
      <c r="E21" s="229">
        <f>Назви!D9</f>
        <v>0</v>
      </c>
      <c r="F21" s="141">
        <f>VLOOKUP(H$2,Лист2!$A:$G,3,0)</f>
        <v>24</v>
      </c>
      <c r="G21" s="174"/>
      <c r="H21" s="172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36400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224" t="str">
        <f>Назви!A14</f>
        <v>Орієнтовні загальні витрати за кредитом, грн.</v>
      </c>
      <c r="C24" s="225"/>
      <c r="D24" s="225"/>
      <c r="E24" s="225"/>
      <c r="F24" s="160">
        <f>G100-F5</f>
        <v>19243.280000000013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224" t="str">
        <f>Назви!A16</f>
        <v>Орієнтовна загальна вартість кредиту, грн.</v>
      </c>
      <c r="C26" s="225">
        <f>Назви!B14</f>
        <v>0</v>
      </c>
      <c r="D26" s="225">
        <f>Назви!C14</f>
        <v>0</v>
      </c>
      <c r="E26" s="226">
        <f>Назви!D14</f>
        <v>0</v>
      </c>
      <c r="F26" s="144">
        <f>F5+F24</f>
        <v>54243.280000000013</v>
      </c>
      <c r="G26" s="175"/>
      <c r="H26" s="173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224" t="str">
        <f>Назви!A18</f>
        <v>Реальна річна процентна ставка, %</v>
      </c>
      <c r="C28" s="225">
        <f>Назви!B16</f>
        <v>0</v>
      </c>
      <c r="D28" s="225">
        <f>Назви!C16</f>
        <v>0</v>
      </c>
      <c r="E28" s="226">
        <f>Назви!D16</f>
        <v>0</v>
      </c>
      <c r="F28" s="147">
        <f ca="1">XIRR(G39:G87,C39:C87)</f>
        <v>0.47818267941474901</v>
      </c>
      <c r="G28" s="174"/>
      <c r="H28" s="172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227" t="str">
        <f>Назви!A19</f>
        <v>Інший термін</v>
      </c>
      <c r="C30" s="228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217" t="s">
        <v>32</v>
      </c>
      <c r="C31" s="218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217" t="s">
        <v>33</v>
      </c>
      <c r="C32" s="218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217" t="s">
        <v>9</v>
      </c>
      <c r="C33" s="218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217"/>
      <c r="C34" s="218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19" t="str">
        <f>Назви!A26</f>
        <v xml:space="preserve">ГРАФІК СПЛАТИ КРЕДИТУ </v>
      </c>
      <c r="C37" s="220"/>
      <c r="D37" s="220"/>
      <c r="E37" s="220"/>
      <c r="F37" s="220"/>
      <c r="G37" s="220"/>
      <c r="H37" s="22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22" t="str">
        <f>Назви!A27</f>
        <v>Місяць</v>
      </c>
      <c r="C38" s="22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2" t="str">
        <f>Назви!F27</f>
        <v>Загальна сума внесків до повернення в місяць, грн.</v>
      </c>
      <c r="H38" s="22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45859</v>
      </c>
      <c r="D39" s="91"/>
      <c r="E39" s="92"/>
      <c r="F39" s="91"/>
      <c r="G39" s="158">
        <f>-F5</f>
        <v>-35000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45890</v>
      </c>
      <c r="D40" s="19">
        <f>IF(B40&lt;=$F$21,$F$7/$F$21,0)</f>
        <v>1516.6666666666667</v>
      </c>
      <c r="E40" s="20">
        <f>IF(AND(B40&gt;F$13,B40&lt;=$F$21),F$7*F$19,0)</f>
        <v>0</v>
      </c>
      <c r="F40" s="181">
        <f>IF(B40&lt;=$F$21,F$7*F$9/12,0)</f>
        <v>0.30333333333333334</v>
      </c>
      <c r="G40" s="208">
        <f t="shared" ref="G40:G71" si="0">IF(B$40&lt;=F$21,D40+E40+F40,0)</f>
        <v>1516.97</v>
      </c>
      <c r="H40" s="20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45921</v>
      </c>
      <c r="D41" s="19">
        <f t="shared" ref="D41:D87" si="2">IF(B41&lt;=$F$21,$F$7/$F$21,0)</f>
        <v>1516.6666666666667</v>
      </c>
      <c r="E41" s="20">
        <f t="shared" ref="E41:E99" si="3">IF(AND(B41&gt;F$13,B41&lt;=$F$21),F$7*F$19,0)</f>
        <v>0</v>
      </c>
      <c r="F41" s="181">
        <f t="shared" ref="F41:F99" si="4">IF(B41&lt;=$F$21,F$7*F$9/12,0)</f>
        <v>0.30333333333333334</v>
      </c>
      <c r="G41" s="208">
        <f t="shared" si="0"/>
        <v>1516.97</v>
      </c>
      <c r="H41" s="20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45951</v>
      </c>
      <c r="D42" s="19">
        <f t="shared" si="2"/>
        <v>1516.6666666666667</v>
      </c>
      <c r="E42" s="20">
        <f t="shared" si="3"/>
        <v>0</v>
      </c>
      <c r="F42" s="181">
        <f t="shared" si="4"/>
        <v>0.30333333333333334</v>
      </c>
      <c r="G42" s="208">
        <f t="shared" si="0"/>
        <v>1516.97</v>
      </c>
      <c r="H42" s="20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45982</v>
      </c>
      <c r="D43" s="19">
        <f t="shared" si="2"/>
        <v>1516.6666666666667</v>
      </c>
      <c r="E43" s="20">
        <f t="shared" si="3"/>
        <v>0</v>
      </c>
      <c r="F43" s="181">
        <f t="shared" si="4"/>
        <v>0.30333333333333334</v>
      </c>
      <c r="G43" s="208">
        <f t="shared" si="0"/>
        <v>1516.97</v>
      </c>
      <c r="H43" s="20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46012</v>
      </c>
      <c r="D44" s="19">
        <f t="shared" si="2"/>
        <v>1516.6666666666667</v>
      </c>
      <c r="E44" s="20">
        <f t="shared" si="3"/>
        <v>0</v>
      </c>
      <c r="F44" s="181">
        <f t="shared" si="4"/>
        <v>0.30333333333333334</v>
      </c>
      <c r="G44" s="208">
        <f t="shared" si="0"/>
        <v>1516.97</v>
      </c>
      <c r="H44" s="20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46043</v>
      </c>
      <c r="D45" s="19">
        <f t="shared" si="2"/>
        <v>1516.6666666666667</v>
      </c>
      <c r="E45" s="20">
        <f t="shared" si="3"/>
        <v>0</v>
      </c>
      <c r="F45" s="181">
        <f t="shared" si="4"/>
        <v>0.30333333333333334</v>
      </c>
      <c r="G45" s="208">
        <f t="shared" si="0"/>
        <v>1516.97</v>
      </c>
      <c r="H45" s="20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46074</v>
      </c>
      <c r="D46" s="19">
        <f t="shared" si="2"/>
        <v>1516.6666666666667</v>
      </c>
      <c r="E46" s="20">
        <f t="shared" si="3"/>
        <v>0</v>
      </c>
      <c r="F46" s="181">
        <f t="shared" si="4"/>
        <v>0.30333333333333334</v>
      </c>
      <c r="G46" s="208">
        <f t="shared" si="0"/>
        <v>1516.97</v>
      </c>
      <c r="H46" s="20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46102</v>
      </c>
      <c r="D47" s="19">
        <f t="shared" si="2"/>
        <v>1516.6666666666667</v>
      </c>
      <c r="E47" s="20">
        <f t="shared" si="3"/>
        <v>0</v>
      </c>
      <c r="F47" s="181">
        <f t="shared" si="4"/>
        <v>0.30333333333333334</v>
      </c>
      <c r="G47" s="208">
        <f t="shared" si="0"/>
        <v>1516.97</v>
      </c>
      <c r="H47" s="20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46133</v>
      </c>
      <c r="D48" s="19">
        <f t="shared" si="2"/>
        <v>1516.6666666666667</v>
      </c>
      <c r="E48" s="20">
        <f t="shared" si="3"/>
        <v>0</v>
      </c>
      <c r="F48" s="181">
        <f t="shared" si="4"/>
        <v>0.30333333333333334</v>
      </c>
      <c r="G48" s="208">
        <f t="shared" si="0"/>
        <v>1516.97</v>
      </c>
      <c r="H48" s="20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46163</v>
      </c>
      <c r="D49" s="19">
        <f t="shared" si="2"/>
        <v>1516.6666666666667</v>
      </c>
      <c r="E49" s="20">
        <f t="shared" si="3"/>
        <v>0</v>
      </c>
      <c r="F49" s="181">
        <f t="shared" si="4"/>
        <v>0.30333333333333334</v>
      </c>
      <c r="G49" s="208">
        <f t="shared" si="0"/>
        <v>1516.97</v>
      </c>
      <c r="H49" s="20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46194</v>
      </c>
      <c r="D50" s="19">
        <f t="shared" si="2"/>
        <v>1516.6666666666667</v>
      </c>
      <c r="E50" s="20">
        <f t="shared" si="3"/>
        <v>1274.0000000000002</v>
      </c>
      <c r="F50" s="181">
        <f t="shared" si="4"/>
        <v>0.30333333333333334</v>
      </c>
      <c r="G50" s="208">
        <f t="shared" si="0"/>
        <v>2790.9700000000003</v>
      </c>
      <c r="H50" s="20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46224</v>
      </c>
      <c r="D51" s="19">
        <f t="shared" si="2"/>
        <v>1516.6666666666667</v>
      </c>
      <c r="E51" s="20">
        <f t="shared" si="3"/>
        <v>1274.0000000000002</v>
      </c>
      <c r="F51" s="181">
        <f t="shared" si="4"/>
        <v>0.30333333333333334</v>
      </c>
      <c r="G51" s="208">
        <f t="shared" si="0"/>
        <v>2790.9700000000003</v>
      </c>
      <c r="H51" s="20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46255</v>
      </c>
      <c r="D52" s="19">
        <f t="shared" si="2"/>
        <v>1516.6666666666667</v>
      </c>
      <c r="E52" s="20">
        <f t="shared" si="3"/>
        <v>1274.0000000000002</v>
      </c>
      <c r="F52" s="181">
        <f t="shared" si="4"/>
        <v>0.30333333333333334</v>
      </c>
      <c r="G52" s="208">
        <f t="shared" si="0"/>
        <v>2790.9700000000003</v>
      </c>
      <c r="H52" s="20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46286</v>
      </c>
      <c r="D53" s="19">
        <f t="shared" si="2"/>
        <v>1516.6666666666667</v>
      </c>
      <c r="E53" s="20">
        <f t="shared" si="3"/>
        <v>1274.0000000000002</v>
      </c>
      <c r="F53" s="181">
        <f t="shared" si="4"/>
        <v>0.30333333333333334</v>
      </c>
      <c r="G53" s="208">
        <f t="shared" si="0"/>
        <v>2790.9700000000003</v>
      </c>
      <c r="H53" s="20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46316</v>
      </c>
      <c r="D54" s="19">
        <f t="shared" si="2"/>
        <v>1516.6666666666667</v>
      </c>
      <c r="E54" s="20">
        <f t="shared" si="3"/>
        <v>1274.0000000000002</v>
      </c>
      <c r="F54" s="181">
        <f t="shared" si="4"/>
        <v>0.30333333333333334</v>
      </c>
      <c r="G54" s="208">
        <f t="shared" si="0"/>
        <v>2790.9700000000003</v>
      </c>
      <c r="H54" s="20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46347</v>
      </c>
      <c r="D55" s="19">
        <f t="shared" si="2"/>
        <v>1516.6666666666667</v>
      </c>
      <c r="E55" s="20">
        <f t="shared" si="3"/>
        <v>1274.0000000000002</v>
      </c>
      <c r="F55" s="181">
        <f t="shared" si="4"/>
        <v>0.30333333333333334</v>
      </c>
      <c r="G55" s="208">
        <f t="shared" si="0"/>
        <v>2790.9700000000003</v>
      </c>
      <c r="H55" s="20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46377</v>
      </c>
      <c r="D56" s="19">
        <f t="shared" si="2"/>
        <v>1516.6666666666667</v>
      </c>
      <c r="E56" s="20">
        <f t="shared" si="3"/>
        <v>1274.0000000000002</v>
      </c>
      <c r="F56" s="181">
        <f t="shared" si="4"/>
        <v>0.30333333333333334</v>
      </c>
      <c r="G56" s="208">
        <f t="shared" si="0"/>
        <v>2790.9700000000003</v>
      </c>
      <c r="H56" s="20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46408</v>
      </c>
      <c r="D57" s="19">
        <f t="shared" si="2"/>
        <v>1516.6666666666667</v>
      </c>
      <c r="E57" s="20">
        <f t="shared" si="3"/>
        <v>1274.0000000000002</v>
      </c>
      <c r="F57" s="181">
        <f t="shared" si="4"/>
        <v>0.30333333333333334</v>
      </c>
      <c r="G57" s="208">
        <f t="shared" si="0"/>
        <v>2790.9700000000003</v>
      </c>
      <c r="H57" s="20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46439</v>
      </c>
      <c r="D58" s="19">
        <f t="shared" si="2"/>
        <v>1516.6666666666667</v>
      </c>
      <c r="E58" s="20">
        <f t="shared" si="3"/>
        <v>1274.0000000000002</v>
      </c>
      <c r="F58" s="181">
        <f t="shared" si="4"/>
        <v>0.30333333333333334</v>
      </c>
      <c r="G58" s="208">
        <f t="shared" si="0"/>
        <v>2790.9700000000003</v>
      </c>
      <c r="H58" s="20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46467</v>
      </c>
      <c r="D59" s="19">
        <f t="shared" si="2"/>
        <v>1516.6666666666667</v>
      </c>
      <c r="E59" s="20">
        <f t="shared" si="3"/>
        <v>1274.0000000000002</v>
      </c>
      <c r="F59" s="181">
        <f t="shared" si="4"/>
        <v>0.30333333333333334</v>
      </c>
      <c r="G59" s="208">
        <f t="shared" si="0"/>
        <v>2790.9700000000003</v>
      </c>
      <c r="H59" s="20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46498</v>
      </c>
      <c r="D60" s="19">
        <f t="shared" si="2"/>
        <v>1516.6666666666667</v>
      </c>
      <c r="E60" s="20">
        <f t="shared" si="3"/>
        <v>1274.0000000000002</v>
      </c>
      <c r="F60" s="181">
        <f t="shared" si="4"/>
        <v>0.30333333333333334</v>
      </c>
      <c r="G60" s="208">
        <f t="shared" si="0"/>
        <v>2790.9700000000003</v>
      </c>
      <c r="H60" s="20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46528</v>
      </c>
      <c r="D61" s="19">
        <f t="shared" si="2"/>
        <v>1516.6666666666667</v>
      </c>
      <c r="E61" s="20">
        <f t="shared" si="3"/>
        <v>1274.0000000000002</v>
      </c>
      <c r="F61" s="181">
        <f t="shared" si="4"/>
        <v>0.30333333333333334</v>
      </c>
      <c r="G61" s="208">
        <f t="shared" si="0"/>
        <v>2790.9700000000003</v>
      </c>
      <c r="H61" s="20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46559</v>
      </c>
      <c r="D62" s="19">
        <f t="shared" si="2"/>
        <v>1516.6666666666667</v>
      </c>
      <c r="E62" s="20">
        <f t="shared" si="3"/>
        <v>1274.0000000000002</v>
      </c>
      <c r="F62" s="181">
        <f t="shared" si="4"/>
        <v>0.30333333333333334</v>
      </c>
      <c r="G62" s="208">
        <f t="shared" si="0"/>
        <v>2790.9700000000003</v>
      </c>
      <c r="H62" s="20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46589</v>
      </c>
      <c r="D63" s="19">
        <f t="shared" si="2"/>
        <v>1516.6666666666667</v>
      </c>
      <c r="E63" s="20">
        <f t="shared" si="3"/>
        <v>1274.0000000000002</v>
      </c>
      <c r="F63" s="181">
        <f t="shared" si="4"/>
        <v>0.30333333333333334</v>
      </c>
      <c r="G63" s="208">
        <f t="shared" si="0"/>
        <v>2790.9700000000003</v>
      </c>
      <c r="H63" s="20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46620</v>
      </c>
      <c r="D64" s="19">
        <f t="shared" si="2"/>
        <v>0</v>
      </c>
      <c r="E64" s="20">
        <f t="shared" si="3"/>
        <v>0</v>
      </c>
      <c r="F64" s="181">
        <f t="shared" si="4"/>
        <v>0</v>
      </c>
      <c r="G64" s="208">
        <f t="shared" si="0"/>
        <v>0</v>
      </c>
      <c r="H64" s="20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46651</v>
      </c>
      <c r="D65" s="19">
        <f t="shared" si="2"/>
        <v>0</v>
      </c>
      <c r="E65" s="20">
        <f t="shared" si="3"/>
        <v>0</v>
      </c>
      <c r="F65" s="181">
        <f t="shared" si="4"/>
        <v>0</v>
      </c>
      <c r="G65" s="208">
        <f t="shared" si="0"/>
        <v>0</v>
      </c>
      <c r="H65" s="20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46681</v>
      </c>
      <c r="D66" s="19">
        <f t="shared" si="2"/>
        <v>0</v>
      </c>
      <c r="E66" s="20">
        <f t="shared" si="3"/>
        <v>0</v>
      </c>
      <c r="F66" s="181">
        <f t="shared" si="4"/>
        <v>0</v>
      </c>
      <c r="G66" s="208">
        <f t="shared" si="0"/>
        <v>0</v>
      </c>
      <c r="H66" s="20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46712</v>
      </c>
      <c r="D67" s="19">
        <f t="shared" si="2"/>
        <v>0</v>
      </c>
      <c r="E67" s="20">
        <f t="shared" si="3"/>
        <v>0</v>
      </c>
      <c r="F67" s="181">
        <f t="shared" si="4"/>
        <v>0</v>
      </c>
      <c r="G67" s="208">
        <f t="shared" si="0"/>
        <v>0</v>
      </c>
      <c r="H67" s="20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46742</v>
      </c>
      <c r="D68" s="19">
        <f t="shared" si="2"/>
        <v>0</v>
      </c>
      <c r="E68" s="20">
        <f t="shared" si="3"/>
        <v>0</v>
      </c>
      <c r="F68" s="181">
        <f t="shared" si="4"/>
        <v>0</v>
      </c>
      <c r="G68" s="208">
        <f t="shared" si="0"/>
        <v>0</v>
      </c>
      <c r="H68" s="20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46773</v>
      </c>
      <c r="D69" s="19">
        <f t="shared" si="2"/>
        <v>0</v>
      </c>
      <c r="E69" s="20">
        <f t="shared" si="3"/>
        <v>0</v>
      </c>
      <c r="F69" s="181">
        <f t="shared" si="4"/>
        <v>0</v>
      </c>
      <c r="G69" s="208">
        <f t="shared" si="0"/>
        <v>0</v>
      </c>
      <c r="H69" s="20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46804</v>
      </c>
      <c r="D70" s="19">
        <f t="shared" si="2"/>
        <v>0</v>
      </c>
      <c r="E70" s="20">
        <f t="shared" si="3"/>
        <v>0</v>
      </c>
      <c r="F70" s="181">
        <f t="shared" si="4"/>
        <v>0</v>
      </c>
      <c r="G70" s="208">
        <f t="shared" si="0"/>
        <v>0</v>
      </c>
      <c r="H70" s="20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46833</v>
      </c>
      <c r="D71" s="19">
        <f t="shared" si="2"/>
        <v>0</v>
      </c>
      <c r="E71" s="20">
        <f t="shared" si="3"/>
        <v>0</v>
      </c>
      <c r="F71" s="181">
        <f t="shared" si="4"/>
        <v>0</v>
      </c>
      <c r="G71" s="208">
        <f t="shared" si="0"/>
        <v>0</v>
      </c>
      <c r="H71" s="20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46864</v>
      </c>
      <c r="D72" s="19">
        <f t="shared" si="2"/>
        <v>0</v>
      </c>
      <c r="E72" s="20">
        <f t="shared" si="3"/>
        <v>0</v>
      </c>
      <c r="F72" s="181">
        <f t="shared" si="4"/>
        <v>0</v>
      </c>
      <c r="G72" s="208">
        <f t="shared" ref="G72:G99" si="5">IF(B$40&lt;=F$21,D72+E72+F72,0)</f>
        <v>0</v>
      </c>
      <c r="H72" s="20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46894</v>
      </c>
      <c r="D73" s="19">
        <f t="shared" si="2"/>
        <v>0</v>
      </c>
      <c r="E73" s="20">
        <f t="shared" si="3"/>
        <v>0</v>
      </c>
      <c r="F73" s="181">
        <f t="shared" si="4"/>
        <v>0</v>
      </c>
      <c r="G73" s="208">
        <f t="shared" si="5"/>
        <v>0</v>
      </c>
      <c r="H73" s="20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46925</v>
      </c>
      <c r="D74" s="19">
        <f t="shared" si="2"/>
        <v>0</v>
      </c>
      <c r="E74" s="20">
        <f t="shared" si="3"/>
        <v>0</v>
      </c>
      <c r="F74" s="181">
        <f t="shared" si="4"/>
        <v>0</v>
      </c>
      <c r="G74" s="208">
        <f t="shared" si="5"/>
        <v>0</v>
      </c>
      <c r="H74" s="20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46955</v>
      </c>
      <c r="D75" s="19">
        <f t="shared" si="2"/>
        <v>0</v>
      </c>
      <c r="E75" s="20">
        <f t="shared" si="3"/>
        <v>0</v>
      </c>
      <c r="F75" s="181">
        <f t="shared" si="4"/>
        <v>0</v>
      </c>
      <c r="G75" s="208">
        <f t="shared" si="5"/>
        <v>0</v>
      </c>
      <c r="H75" s="20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46986</v>
      </c>
      <c r="D76" s="19">
        <f t="shared" si="2"/>
        <v>0</v>
      </c>
      <c r="E76" s="20">
        <f t="shared" si="3"/>
        <v>0</v>
      </c>
      <c r="F76" s="181">
        <f t="shared" si="4"/>
        <v>0</v>
      </c>
      <c r="G76" s="208">
        <f t="shared" si="5"/>
        <v>0</v>
      </c>
      <c r="H76" s="20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47017</v>
      </c>
      <c r="D77" s="19">
        <f t="shared" si="2"/>
        <v>0</v>
      </c>
      <c r="E77" s="20">
        <f t="shared" si="3"/>
        <v>0</v>
      </c>
      <c r="F77" s="181">
        <f t="shared" si="4"/>
        <v>0</v>
      </c>
      <c r="G77" s="208">
        <f t="shared" si="5"/>
        <v>0</v>
      </c>
      <c r="H77" s="20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47047</v>
      </c>
      <c r="D78" s="19">
        <f t="shared" si="2"/>
        <v>0</v>
      </c>
      <c r="E78" s="20">
        <f t="shared" si="3"/>
        <v>0</v>
      </c>
      <c r="F78" s="181">
        <f t="shared" si="4"/>
        <v>0</v>
      </c>
      <c r="G78" s="208">
        <f t="shared" si="5"/>
        <v>0</v>
      </c>
      <c r="H78" s="20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47078</v>
      </c>
      <c r="D79" s="19">
        <f t="shared" si="2"/>
        <v>0</v>
      </c>
      <c r="E79" s="20">
        <f t="shared" si="3"/>
        <v>0</v>
      </c>
      <c r="F79" s="181">
        <f t="shared" si="4"/>
        <v>0</v>
      </c>
      <c r="G79" s="208">
        <f t="shared" si="5"/>
        <v>0</v>
      </c>
      <c r="H79" s="20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47108</v>
      </c>
      <c r="D80" s="19">
        <f t="shared" si="2"/>
        <v>0</v>
      </c>
      <c r="E80" s="20">
        <f t="shared" si="3"/>
        <v>0</v>
      </c>
      <c r="F80" s="181">
        <f t="shared" si="4"/>
        <v>0</v>
      </c>
      <c r="G80" s="208">
        <f t="shared" si="5"/>
        <v>0</v>
      </c>
      <c r="H80" s="20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47139</v>
      </c>
      <c r="D81" s="19">
        <f t="shared" si="2"/>
        <v>0</v>
      </c>
      <c r="E81" s="20">
        <f t="shared" si="3"/>
        <v>0</v>
      </c>
      <c r="F81" s="181">
        <f t="shared" si="4"/>
        <v>0</v>
      </c>
      <c r="G81" s="208">
        <f t="shared" si="5"/>
        <v>0</v>
      </c>
      <c r="H81" s="20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47170</v>
      </c>
      <c r="D82" s="19">
        <f t="shared" si="2"/>
        <v>0</v>
      </c>
      <c r="E82" s="20">
        <f t="shared" si="3"/>
        <v>0</v>
      </c>
      <c r="F82" s="181">
        <f t="shared" si="4"/>
        <v>0</v>
      </c>
      <c r="G82" s="208">
        <f t="shared" si="5"/>
        <v>0</v>
      </c>
      <c r="H82" s="20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47198</v>
      </c>
      <c r="D83" s="19">
        <f t="shared" si="2"/>
        <v>0</v>
      </c>
      <c r="E83" s="20">
        <f t="shared" si="3"/>
        <v>0</v>
      </c>
      <c r="F83" s="181">
        <f t="shared" si="4"/>
        <v>0</v>
      </c>
      <c r="G83" s="208">
        <f t="shared" si="5"/>
        <v>0</v>
      </c>
      <c r="H83" s="20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47229</v>
      </c>
      <c r="D84" s="19">
        <f t="shared" si="2"/>
        <v>0</v>
      </c>
      <c r="E84" s="20">
        <f t="shared" si="3"/>
        <v>0</v>
      </c>
      <c r="F84" s="181">
        <f t="shared" si="4"/>
        <v>0</v>
      </c>
      <c r="G84" s="208">
        <f t="shared" si="5"/>
        <v>0</v>
      </c>
      <c r="H84" s="20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47259</v>
      </c>
      <c r="D85" s="19">
        <f t="shared" si="2"/>
        <v>0</v>
      </c>
      <c r="E85" s="20">
        <f t="shared" si="3"/>
        <v>0</v>
      </c>
      <c r="F85" s="181">
        <f t="shared" si="4"/>
        <v>0</v>
      </c>
      <c r="G85" s="208">
        <f t="shared" si="5"/>
        <v>0</v>
      </c>
      <c r="H85" s="20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47290</v>
      </c>
      <c r="D86" s="19">
        <f t="shared" si="2"/>
        <v>0</v>
      </c>
      <c r="E86" s="20">
        <f t="shared" si="3"/>
        <v>0</v>
      </c>
      <c r="F86" s="181">
        <f t="shared" si="4"/>
        <v>0</v>
      </c>
      <c r="G86" s="208">
        <f t="shared" si="5"/>
        <v>0</v>
      </c>
      <c r="H86" s="20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47320</v>
      </c>
      <c r="D87" s="19">
        <f t="shared" si="2"/>
        <v>0</v>
      </c>
      <c r="E87" s="20">
        <f t="shared" si="3"/>
        <v>0</v>
      </c>
      <c r="F87" s="181">
        <f t="shared" si="4"/>
        <v>0</v>
      </c>
      <c r="G87" s="208">
        <f t="shared" si="5"/>
        <v>0</v>
      </c>
      <c r="H87" s="20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47351</v>
      </c>
      <c r="D88" s="179">
        <f t="shared" ref="D88:D99" si="6">IF(B88&lt;=$F$21,(($F$5+F$15)+(($F$5+F$15)*F$11))/$F$21,0)</f>
        <v>0</v>
      </c>
      <c r="E88" s="180">
        <f t="shared" si="3"/>
        <v>0</v>
      </c>
      <c r="F88" s="181">
        <f t="shared" si="4"/>
        <v>0</v>
      </c>
      <c r="G88" s="215">
        <f t="shared" si="5"/>
        <v>0</v>
      </c>
      <c r="H88" s="216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47382</v>
      </c>
      <c r="D89" s="107">
        <f t="shared" si="6"/>
        <v>0</v>
      </c>
      <c r="E89" s="108">
        <f t="shared" si="3"/>
        <v>0</v>
      </c>
      <c r="F89" s="181">
        <f t="shared" si="4"/>
        <v>0</v>
      </c>
      <c r="G89" s="209">
        <f t="shared" si="5"/>
        <v>0</v>
      </c>
      <c r="H89" s="210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47412</v>
      </c>
      <c r="D90" s="107">
        <f t="shared" si="6"/>
        <v>0</v>
      </c>
      <c r="E90" s="108">
        <f t="shared" si="3"/>
        <v>0</v>
      </c>
      <c r="F90" s="181">
        <f t="shared" si="4"/>
        <v>0</v>
      </c>
      <c r="G90" s="209">
        <f t="shared" si="5"/>
        <v>0</v>
      </c>
      <c r="H90" s="210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47443</v>
      </c>
      <c r="D91" s="107">
        <f t="shared" si="6"/>
        <v>0</v>
      </c>
      <c r="E91" s="108">
        <f t="shared" si="3"/>
        <v>0</v>
      </c>
      <c r="F91" s="181">
        <f t="shared" si="4"/>
        <v>0</v>
      </c>
      <c r="G91" s="209">
        <f t="shared" si="5"/>
        <v>0</v>
      </c>
      <c r="H91" s="210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47473</v>
      </c>
      <c r="D92" s="107">
        <f t="shared" si="6"/>
        <v>0</v>
      </c>
      <c r="E92" s="108">
        <f t="shared" si="3"/>
        <v>0</v>
      </c>
      <c r="F92" s="181">
        <f t="shared" si="4"/>
        <v>0</v>
      </c>
      <c r="G92" s="209">
        <f t="shared" si="5"/>
        <v>0</v>
      </c>
      <c r="H92" s="210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47504</v>
      </c>
      <c r="D93" s="107">
        <f t="shared" si="6"/>
        <v>0</v>
      </c>
      <c r="E93" s="108">
        <f t="shared" si="3"/>
        <v>0</v>
      </c>
      <c r="F93" s="181">
        <f t="shared" si="4"/>
        <v>0</v>
      </c>
      <c r="G93" s="209">
        <f t="shared" si="5"/>
        <v>0</v>
      </c>
      <c r="H93" s="210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47535</v>
      </c>
      <c r="D94" s="107">
        <f t="shared" si="6"/>
        <v>0</v>
      </c>
      <c r="E94" s="108">
        <f t="shared" si="3"/>
        <v>0</v>
      </c>
      <c r="F94" s="181">
        <f t="shared" si="4"/>
        <v>0</v>
      </c>
      <c r="G94" s="209">
        <f t="shared" si="5"/>
        <v>0</v>
      </c>
      <c r="H94" s="210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47563</v>
      </c>
      <c r="D95" s="107">
        <f t="shared" si="6"/>
        <v>0</v>
      </c>
      <c r="E95" s="108">
        <f t="shared" si="3"/>
        <v>0</v>
      </c>
      <c r="F95" s="181">
        <f t="shared" si="4"/>
        <v>0</v>
      </c>
      <c r="G95" s="209">
        <f t="shared" si="5"/>
        <v>0</v>
      </c>
      <c r="H95" s="210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47594</v>
      </c>
      <c r="D96" s="107">
        <f t="shared" si="6"/>
        <v>0</v>
      </c>
      <c r="E96" s="108">
        <f t="shared" si="3"/>
        <v>0</v>
      </c>
      <c r="F96" s="181">
        <f t="shared" si="4"/>
        <v>0</v>
      </c>
      <c r="G96" s="209">
        <f t="shared" si="5"/>
        <v>0</v>
      </c>
      <c r="H96" s="210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47624</v>
      </c>
      <c r="D97" s="107">
        <f t="shared" si="6"/>
        <v>0</v>
      </c>
      <c r="E97" s="108">
        <f t="shared" si="3"/>
        <v>0</v>
      </c>
      <c r="F97" s="181">
        <f t="shared" si="4"/>
        <v>0</v>
      </c>
      <c r="G97" s="209">
        <f t="shared" si="5"/>
        <v>0</v>
      </c>
      <c r="H97" s="210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47655</v>
      </c>
      <c r="D98" s="107">
        <f t="shared" si="6"/>
        <v>0</v>
      </c>
      <c r="E98" s="108">
        <f t="shared" si="3"/>
        <v>0</v>
      </c>
      <c r="F98" s="181">
        <f t="shared" si="4"/>
        <v>0</v>
      </c>
      <c r="G98" s="209">
        <f t="shared" si="5"/>
        <v>0</v>
      </c>
      <c r="H98" s="210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47685</v>
      </c>
      <c r="D99" s="107">
        <f t="shared" si="6"/>
        <v>0</v>
      </c>
      <c r="E99" s="108">
        <f t="shared" si="3"/>
        <v>0</v>
      </c>
      <c r="F99" s="181">
        <f t="shared" si="4"/>
        <v>0</v>
      </c>
      <c r="G99" s="209">
        <f t="shared" si="5"/>
        <v>0</v>
      </c>
      <c r="H99" s="210"/>
      <c r="I99" s="104"/>
      <c r="J99" s="104"/>
    </row>
    <row r="100" spans="1:19" s="4" customFormat="1" ht="16.5" thickBot="1" x14ac:dyDescent="0.25">
      <c r="A100" s="43"/>
      <c r="B100" s="213" t="s">
        <v>1</v>
      </c>
      <c r="C100" s="214"/>
      <c r="D100" s="93">
        <f>SUM(D40:D99)</f>
        <v>36400.000000000007</v>
      </c>
      <c r="E100" s="93">
        <f>SUM(E40:E99)</f>
        <v>17836.000000000004</v>
      </c>
      <c r="F100" s="99">
        <f>SUM(F40:F99)</f>
        <v>7.2800000000000029</v>
      </c>
      <c r="G100" s="211">
        <f>SUM(G40:H99)</f>
        <v>54243.280000000013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07" t="s">
        <v>6</v>
      </c>
      <c r="F102" s="207"/>
      <c r="G102" s="207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Do6o3ifdS8hs2X1dzo45FwqKGl2SP18hdYabORX9nmj3XGHmmSMeLx4bPBFZ6xaIsS39ONmUH1o/+jvA3yK+VQ==" saltValue="hVvJlLLT9jv+7763hG4EHg==" spinCount="100000" sheet="1" selectLockedCells="1"/>
  <dataConsolidate/>
  <mergeCells count="93"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  <mergeCell ref="G43:H43"/>
    <mergeCell ref="G44:H44"/>
    <mergeCell ref="G50:H50"/>
    <mergeCell ref="G48:H48"/>
    <mergeCell ref="G49:H49"/>
    <mergeCell ref="G45:H45"/>
    <mergeCell ref="G46:H46"/>
    <mergeCell ref="G47:H47"/>
    <mergeCell ref="G42:H42"/>
    <mergeCell ref="G40:H40"/>
    <mergeCell ref="G41:H41"/>
    <mergeCell ref="B33:C33"/>
    <mergeCell ref="B34:C34"/>
    <mergeCell ref="B37:H37"/>
    <mergeCell ref="B38:C38"/>
    <mergeCell ref="G38:H38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56:H56"/>
    <mergeCell ref="G51:H51"/>
    <mergeCell ref="G52:H52"/>
    <mergeCell ref="G53:H53"/>
    <mergeCell ref="G57:H57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</mergeCells>
  <dataValidations count="1">
    <dataValidation type="list" allowBlank="1" showInputMessage="1" showErrorMessage="1" sqref="H2:I2" xr:uid="{00000000-0002-0000-0000-000000000000}">
      <formula1>$L$7:$L$9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8" t="s">
        <v>154</v>
      </c>
      <c r="E5" s="178" t="s">
        <v>49</v>
      </c>
    </row>
    <row r="6" spans="2:11" ht="13.15" customHeight="1" x14ac:dyDescent="0.2">
      <c r="B6" s="231" t="s">
        <v>155</v>
      </c>
      <c r="C6" s="232"/>
      <c r="D6" s="177" t="s">
        <v>61</v>
      </c>
      <c r="E6" s="177" t="s">
        <v>62</v>
      </c>
    </row>
    <row r="7" spans="2:11" x14ac:dyDescent="0.2">
      <c r="B7" s="233"/>
      <c r="C7" s="234"/>
      <c r="D7" s="177" t="s">
        <v>63</v>
      </c>
      <c r="E7" s="177" t="s">
        <v>64</v>
      </c>
    </row>
    <row r="8" spans="2:11" x14ac:dyDescent="0.2">
      <c r="B8" s="233"/>
      <c r="C8" s="234"/>
      <c r="D8" s="177" t="s">
        <v>65</v>
      </c>
      <c r="E8" s="177" t="s">
        <v>66</v>
      </c>
    </row>
    <row r="9" spans="2:11" x14ac:dyDescent="0.2">
      <c r="B9" s="233"/>
      <c r="C9" s="234"/>
      <c r="D9" s="177" t="s">
        <v>67</v>
      </c>
      <c r="E9" s="177" t="s">
        <v>68</v>
      </c>
    </row>
    <row r="10" spans="2:11" x14ac:dyDescent="0.2">
      <c r="B10" s="233"/>
      <c r="C10" s="234"/>
      <c r="D10" s="177" t="s">
        <v>69</v>
      </c>
      <c r="E10" s="177" t="s">
        <v>57</v>
      </c>
    </row>
    <row r="11" spans="2:11" x14ac:dyDescent="0.2">
      <c r="B11" s="233"/>
      <c r="C11" s="234"/>
      <c r="D11" s="177" t="s">
        <v>70</v>
      </c>
      <c r="E11" s="177" t="s">
        <v>71</v>
      </c>
    </row>
    <row r="12" spans="2:11" x14ac:dyDescent="0.2">
      <c r="B12" s="233"/>
      <c r="C12" s="234"/>
      <c r="D12" s="177" t="s">
        <v>72</v>
      </c>
      <c r="E12" s="177" t="s">
        <v>73</v>
      </c>
    </row>
    <row r="13" spans="2:11" x14ac:dyDescent="0.2">
      <c r="B13" s="233"/>
      <c r="C13" s="234"/>
      <c r="D13" s="177" t="s">
        <v>74</v>
      </c>
      <c r="E13" s="177" t="s">
        <v>75</v>
      </c>
    </row>
    <row r="14" spans="2:11" x14ac:dyDescent="0.2">
      <c r="B14" s="233"/>
      <c r="C14" s="234"/>
      <c r="D14" s="177" t="s">
        <v>76</v>
      </c>
      <c r="E14" s="177" t="s">
        <v>77</v>
      </c>
    </row>
    <row r="15" spans="2:11" x14ac:dyDescent="0.2">
      <c r="B15" s="233"/>
      <c r="C15" s="234"/>
      <c r="D15" s="177" t="s">
        <v>78</v>
      </c>
      <c r="E15" s="177" t="s">
        <v>79</v>
      </c>
    </row>
    <row r="16" spans="2:11" x14ac:dyDescent="0.2">
      <c r="B16" s="233"/>
      <c r="C16" s="234"/>
      <c r="D16" s="177" t="s">
        <v>80</v>
      </c>
      <c r="E16" s="177" t="s">
        <v>81</v>
      </c>
    </row>
    <row r="17" spans="2:5" x14ac:dyDescent="0.2">
      <c r="B17" s="233"/>
      <c r="C17" s="234"/>
      <c r="D17" s="177" t="s">
        <v>82</v>
      </c>
      <c r="E17" s="177" t="s">
        <v>83</v>
      </c>
    </row>
    <row r="18" spans="2:5" x14ac:dyDescent="0.2">
      <c r="B18" s="233"/>
      <c r="C18" s="234"/>
      <c r="D18" s="177" t="s">
        <v>84</v>
      </c>
      <c r="E18" s="177" t="s">
        <v>85</v>
      </c>
    </row>
    <row r="19" spans="2:5" x14ac:dyDescent="0.2">
      <c r="B19" s="233"/>
      <c r="C19" s="234"/>
      <c r="D19" s="177" t="s">
        <v>86</v>
      </c>
      <c r="E19" s="177" t="s">
        <v>87</v>
      </c>
    </row>
    <row r="20" spans="2:5" x14ac:dyDescent="0.2">
      <c r="B20" s="233"/>
      <c r="C20" s="234"/>
      <c r="D20" s="177" t="s">
        <v>88</v>
      </c>
      <c r="E20" s="177" t="s">
        <v>89</v>
      </c>
    </row>
    <row r="21" spans="2:5" x14ac:dyDescent="0.2">
      <c r="B21" s="233"/>
      <c r="C21" s="234"/>
      <c r="D21" s="177" t="s">
        <v>90</v>
      </c>
      <c r="E21" s="177" t="s">
        <v>91</v>
      </c>
    </row>
    <row r="22" spans="2:5" x14ac:dyDescent="0.2">
      <c r="B22" s="233"/>
      <c r="C22" s="234"/>
      <c r="D22" s="177" t="s">
        <v>92</v>
      </c>
      <c r="E22" s="177" t="s">
        <v>93</v>
      </c>
    </row>
    <row r="23" spans="2:5" x14ac:dyDescent="0.2">
      <c r="B23" s="233"/>
      <c r="C23" s="234"/>
      <c r="D23" s="177" t="s">
        <v>94</v>
      </c>
      <c r="E23" s="177" t="s">
        <v>95</v>
      </c>
    </row>
    <row r="24" spans="2:5" x14ac:dyDescent="0.2">
      <c r="B24" s="233"/>
      <c r="C24" s="234"/>
      <c r="D24" s="177" t="s">
        <v>96</v>
      </c>
      <c r="E24" s="177" t="s">
        <v>97</v>
      </c>
    </row>
    <row r="25" spans="2:5" x14ac:dyDescent="0.2">
      <c r="B25" s="233"/>
      <c r="C25" s="234"/>
      <c r="D25" s="177" t="s">
        <v>98</v>
      </c>
      <c r="E25" s="177" t="s">
        <v>99</v>
      </c>
    </row>
    <row r="26" spans="2:5" x14ac:dyDescent="0.2">
      <c r="B26" s="233"/>
      <c r="C26" s="234"/>
      <c r="D26" s="177" t="s">
        <v>100</v>
      </c>
      <c r="E26" s="177" t="s">
        <v>101</v>
      </c>
    </row>
    <row r="27" spans="2:5" x14ac:dyDescent="0.2">
      <c r="B27" s="233"/>
      <c r="C27" s="234"/>
      <c r="D27" s="177" t="s">
        <v>102</v>
      </c>
      <c r="E27" s="177" t="s">
        <v>103</v>
      </c>
    </row>
    <row r="28" spans="2:5" x14ac:dyDescent="0.2">
      <c r="B28" s="233"/>
      <c r="C28" s="234"/>
      <c r="D28" s="177" t="s">
        <v>104</v>
      </c>
      <c r="E28" s="177" t="s">
        <v>105</v>
      </c>
    </row>
    <row r="29" spans="2:5" x14ac:dyDescent="0.2">
      <c r="B29" s="233"/>
      <c r="C29" s="234"/>
      <c r="D29" s="177" t="s">
        <v>50</v>
      </c>
      <c r="E29" s="177" t="s">
        <v>51</v>
      </c>
    </row>
    <row r="30" spans="2:5" x14ac:dyDescent="0.2">
      <c r="B30" s="233"/>
      <c r="C30" s="234"/>
      <c r="D30" s="177" t="s">
        <v>106</v>
      </c>
      <c r="E30" s="177" t="s">
        <v>107</v>
      </c>
    </row>
    <row r="31" spans="2:5" x14ac:dyDescent="0.2">
      <c r="B31" s="233"/>
      <c r="C31" s="234"/>
      <c r="D31" s="177" t="s">
        <v>108</v>
      </c>
      <c r="E31" s="177" t="s">
        <v>109</v>
      </c>
    </row>
    <row r="32" spans="2:5" x14ac:dyDescent="0.2">
      <c r="B32" s="233"/>
      <c r="C32" s="234"/>
      <c r="D32" s="177" t="s">
        <v>110</v>
      </c>
      <c r="E32" s="177" t="s">
        <v>52</v>
      </c>
    </row>
    <row r="33" spans="2:5" x14ac:dyDescent="0.2">
      <c r="B33" s="233"/>
      <c r="C33" s="234"/>
      <c r="D33" s="177" t="s">
        <v>111</v>
      </c>
      <c r="E33" s="177" t="s">
        <v>112</v>
      </c>
    </row>
    <row r="34" spans="2:5" x14ac:dyDescent="0.2">
      <c r="B34" s="233"/>
      <c r="C34" s="234"/>
      <c r="D34" s="177" t="s">
        <v>113</v>
      </c>
      <c r="E34" s="177" t="s">
        <v>114</v>
      </c>
    </row>
    <row r="35" spans="2:5" x14ac:dyDescent="0.2">
      <c r="B35" s="233"/>
      <c r="C35" s="234"/>
      <c r="D35" s="177" t="s">
        <v>117</v>
      </c>
      <c r="E35" s="177" t="s">
        <v>118</v>
      </c>
    </row>
    <row r="36" spans="2:5" x14ac:dyDescent="0.2">
      <c r="B36" s="233"/>
      <c r="C36" s="234"/>
      <c r="D36" s="177" t="s">
        <v>119</v>
      </c>
      <c r="E36" s="177" t="s">
        <v>120</v>
      </c>
    </row>
    <row r="37" spans="2:5" x14ac:dyDescent="0.2">
      <c r="B37" s="233"/>
      <c r="C37" s="234"/>
      <c r="D37" s="177" t="s">
        <v>121</v>
      </c>
      <c r="E37" s="177" t="s">
        <v>122</v>
      </c>
    </row>
    <row r="38" spans="2:5" x14ac:dyDescent="0.2">
      <c r="B38" s="233"/>
      <c r="C38" s="234"/>
      <c r="D38" s="177" t="s">
        <v>123</v>
      </c>
      <c r="E38" s="177" t="s">
        <v>124</v>
      </c>
    </row>
    <row r="39" spans="2:5" x14ac:dyDescent="0.2">
      <c r="B39" s="233"/>
      <c r="C39" s="234"/>
      <c r="D39" s="177" t="s">
        <v>125</v>
      </c>
      <c r="E39" s="177" t="s">
        <v>126</v>
      </c>
    </row>
    <row r="40" spans="2:5" x14ac:dyDescent="0.2">
      <c r="B40" s="233"/>
      <c r="C40" s="234"/>
      <c r="D40" s="177" t="s">
        <v>53</v>
      </c>
      <c r="E40" s="177" t="s">
        <v>127</v>
      </c>
    </row>
    <row r="41" spans="2:5" x14ac:dyDescent="0.2">
      <c r="B41" s="233"/>
      <c r="C41" s="234"/>
      <c r="D41" s="177" t="s">
        <v>128</v>
      </c>
      <c r="E41" s="177" t="s">
        <v>129</v>
      </c>
    </row>
    <row r="42" spans="2:5" x14ac:dyDescent="0.2">
      <c r="B42" s="233"/>
      <c r="C42" s="234"/>
      <c r="D42" s="177" t="s">
        <v>130</v>
      </c>
      <c r="E42" s="177" t="s">
        <v>131</v>
      </c>
    </row>
    <row r="43" spans="2:5" x14ac:dyDescent="0.2">
      <c r="B43" s="233"/>
      <c r="C43" s="234"/>
      <c r="D43" s="177" t="s">
        <v>132</v>
      </c>
      <c r="E43" s="177" t="s">
        <v>133</v>
      </c>
    </row>
    <row r="44" spans="2:5" x14ac:dyDescent="0.2">
      <c r="B44" s="233"/>
      <c r="C44" s="234"/>
      <c r="D44" s="177" t="s">
        <v>134</v>
      </c>
      <c r="E44" s="177" t="s">
        <v>135</v>
      </c>
    </row>
    <row r="45" spans="2:5" x14ac:dyDescent="0.2">
      <c r="B45" s="233"/>
      <c r="C45" s="234"/>
      <c r="D45" s="177" t="s">
        <v>54</v>
      </c>
      <c r="E45" s="177" t="s">
        <v>55</v>
      </c>
    </row>
    <row r="46" spans="2:5" x14ac:dyDescent="0.2">
      <c r="B46" s="233"/>
      <c r="C46" s="234"/>
      <c r="D46" s="177" t="s">
        <v>136</v>
      </c>
      <c r="E46" s="177" t="s">
        <v>137</v>
      </c>
    </row>
    <row r="47" spans="2:5" x14ac:dyDescent="0.2">
      <c r="B47" s="233"/>
      <c r="C47" s="234"/>
      <c r="D47" s="177" t="s">
        <v>138</v>
      </c>
      <c r="E47" s="177" t="s">
        <v>56</v>
      </c>
    </row>
    <row r="48" spans="2:5" x14ac:dyDescent="0.2">
      <c r="B48" s="233"/>
      <c r="C48" s="234"/>
      <c r="D48" s="177" t="s">
        <v>139</v>
      </c>
      <c r="E48" s="177" t="s">
        <v>140</v>
      </c>
    </row>
    <row r="49" spans="2:5" x14ac:dyDescent="0.2">
      <c r="B49" s="233"/>
      <c r="C49" s="234"/>
      <c r="D49" s="177" t="s">
        <v>141</v>
      </c>
      <c r="E49" s="177" t="s">
        <v>142</v>
      </c>
    </row>
    <row r="50" spans="2:5" x14ac:dyDescent="0.2">
      <c r="B50" s="233"/>
      <c r="C50" s="234"/>
      <c r="D50" s="177" t="s">
        <v>145</v>
      </c>
      <c r="E50" s="177" t="s">
        <v>146</v>
      </c>
    </row>
    <row r="51" spans="2:5" x14ac:dyDescent="0.2">
      <c r="B51" s="233"/>
      <c r="C51" s="234"/>
      <c r="D51" s="177" t="s">
        <v>147</v>
      </c>
      <c r="E51" s="177" t="s">
        <v>148</v>
      </c>
    </row>
    <row r="52" spans="2:5" x14ac:dyDescent="0.2">
      <c r="B52" s="233"/>
      <c r="C52" s="234"/>
      <c r="D52" s="177" t="s">
        <v>149</v>
      </c>
      <c r="E52" s="177" t="s">
        <v>150</v>
      </c>
    </row>
    <row r="53" spans="2:5" ht="13.15" customHeight="1" x14ac:dyDescent="0.2">
      <c r="B53" s="235"/>
      <c r="C53" s="236"/>
      <c r="D53" s="177" t="s">
        <v>58</v>
      </c>
      <c r="E53" s="177" t="s">
        <v>59</v>
      </c>
    </row>
    <row r="54" spans="2:5" x14ac:dyDescent="0.2">
      <c r="B54" s="237" t="s">
        <v>152</v>
      </c>
      <c r="C54" s="238"/>
      <c r="D54" s="182" t="s">
        <v>115</v>
      </c>
      <c r="E54" s="182" t="s">
        <v>116</v>
      </c>
    </row>
    <row r="55" spans="2:5" x14ac:dyDescent="0.2">
      <c r="B55" s="239" t="s">
        <v>153</v>
      </c>
      <c r="C55" s="239"/>
      <c r="D55" s="177" t="s">
        <v>143</v>
      </c>
      <c r="E55" s="177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56" t="s">
        <v>16</v>
      </c>
      <c r="B1" s="257"/>
      <c r="C1" s="257"/>
      <c r="D1" s="25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51" t="s">
        <v>44</v>
      </c>
      <c r="B3" s="252">
        <v>0</v>
      </c>
      <c r="C3" s="252">
        <v>0</v>
      </c>
      <c r="D3" s="25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51" t="s">
        <v>45</v>
      </c>
      <c r="B5" s="252">
        <v>0</v>
      </c>
      <c r="C5" s="252">
        <v>0</v>
      </c>
      <c r="D5" s="25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51" t="s">
        <v>46</v>
      </c>
      <c r="B7" s="252">
        <v>0</v>
      </c>
      <c r="C7" s="252">
        <v>0</v>
      </c>
      <c r="D7" s="25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51" t="s">
        <v>158</v>
      </c>
      <c r="B9" s="252"/>
      <c r="C9" s="252"/>
      <c r="D9" s="25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51" t="s">
        <v>157</v>
      </c>
      <c r="B12" s="252">
        <v>0</v>
      </c>
      <c r="C12" s="252">
        <v>0</v>
      </c>
      <c r="D12" s="25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51" t="s">
        <v>47</v>
      </c>
      <c r="B14" s="252">
        <v>0</v>
      </c>
      <c r="C14" s="252">
        <v>0</v>
      </c>
      <c r="D14" s="25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51" t="s">
        <v>156</v>
      </c>
      <c r="B16" s="252">
        <v>0</v>
      </c>
      <c r="C16" s="252">
        <v>0</v>
      </c>
      <c r="D16" s="25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54" t="s">
        <v>8</v>
      </c>
      <c r="B19" s="25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1" t="s">
        <v>20</v>
      </c>
      <c r="B20" s="242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1" t="s">
        <v>9</v>
      </c>
      <c r="B21" s="242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1" t="s">
        <v>18</v>
      </c>
      <c r="B22" s="242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1" t="s">
        <v>19</v>
      </c>
      <c r="B23" s="242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44" t="s">
        <v>30</v>
      </c>
      <c r="B26" s="245"/>
      <c r="C26" s="245"/>
      <c r="D26" s="245"/>
      <c r="E26" s="245"/>
      <c r="F26" s="245"/>
      <c r="G26" s="246"/>
    </row>
    <row r="27" spans="1:8" ht="45.75" thickBot="1" x14ac:dyDescent="0.25">
      <c r="A27" s="247" t="s">
        <v>2</v>
      </c>
      <c r="B27" s="248"/>
      <c r="C27" s="83" t="s">
        <v>4</v>
      </c>
      <c r="D27" s="83" t="s">
        <v>17</v>
      </c>
      <c r="E27" s="83" t="s">
        <v>5</v>
      </c>
      <c r="F27" s="249" t="s">
        <v>3</v>
      </c>
      <c r="G27" s="250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43"/>
      <c r="E29" s="243"/>
      <c r="F29" s="243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12:D12"/>
    <mergeCell ref="A14:D14"/>
    <mergeCell ref="A16:D16"/>
    <mergeCell ref="A19:B19"/>
    <mergeCell ref="A1:D1"/>
    <mergeCell ref="A3:D3"/>
    <mergeCell ref="A5:D5"/>
    <mergeCell ref="A7:D7"/>
    <mergeCell ref="A9:D9"/>
    <mergeCell ref="A20:B20"/>
    <mergeCell ref="A21:B21"/>
    <mergeCell ref="D29:F29"/>
    <mergeCell ref="A23:B23"/>
    <mergeCell ref="A26:G26"/>
    <mergeCell ref="A27:B27"/>
    <mergeCell ref="F27:G27"/>
    <mergeCell ref="A22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"/>
  <sheetViews>
    <sheetView zoomScale="85" zoomScaleNormal="85" workbookViewId="0">
      <selection activeCell="G10" sqref="G10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49019.61</v>
      </c>
      <c r="C4" s="151">
        <v>14</v>
      </c>
      <c r="D4" s="152">
        <v>1E-4</v>
      </c>
      <c r="E4" s="152">
        <v>0</v>
      </c>
      <c r="F4" s="152">
        <v>3.5000000000000003E-2</v>
      </c>
      <c r="G4" s="151" t="str">
        <f>I$2&amp;" "&amp;B4&amp;" "&amp;H$2</f>
        <v>max. 49019,61 грн.</v>
      </c>
      <c r="H4" s="184">
        <f>B4+B4*K4</f>
        <v>50000.002200000003</v>
      </c>
      <c r="I4" s="151">
        <v>3</v>
      </c>
      <c r="K4" s="183">
        <v>0.02</v>
      </c>
      <c r="L4" s="153">
        <f t="shared" ref="L4" si="0">D4/12/(1-1/POWER(1+D4/12,C4))*H4+H4*F4</f>
        <v>5321.6520238817284</v>
      </c>
      <c r="M4" s="154">
        <f>F4</f>
        <v>3.5000000000000003E-2</v>
      </c>
      <c r="N4" s="154"/>
      <c r="O4" s="155">
        <v>0</v>
      </c>
      <c r="P4" s="151">
        <v>1000</v>
      </c>
    </row>
    <row r="5" spans="1:16" s="151" customFormat="1" x14ac:dyDescent="0.2">
      <c r="A5" s="151" t="s">
        <v>161</v>
      </c>
      <c r="B5" s="121">
        <v>49019.61</v>
      </c>
      <c r="C5" s="151">
        <v>14</v>
      </c>
      <c r="D5" s="152">
        <v>1E-4</v>
      </c>
      <c r="E5" s="152">
        <v>0</v>
      </c>
      <c r="F5" s="152">
        <v>3.5000000000000003E-2</v>
      </c>
      <c r="G5" s="151" t="str">
        <f>I$2&amp;" "&amp;B5&amp;" "&amp;H$2</f>
        <v>max. 49019,61 грн.</v>
      </c>
      <c r="H5" s="184">
        <f t="shared" ref="H5" si="1">B5+B5*K5</f>
        <v>50000.002200000003</v>
      </c>
      <c r="I5" s="151">
        <v>5</v>
      </c>
      <c r="K5" s="183">
        <v>0.02</v>
      </c>
      <c r="L5" s="153">
        <f t="shared" ref="L5" si="2">D5/12/(1-1/POWER(1+D5/12,C5))*H5+H5*F5</f>
        <v>5321.6520238817284</v>
      </c>
      <c r="M5" s="154">
        <f>F5</f>
        <v>3.5000000000000003E-2</v>
      </c>
      <c r="N5" s="154"/>
      <c r="O5" s="155">
        <v>0</v>
      </c>
      <c r="P5" s="151">
        <v>1000</v>
      </c>
    </row>
    <row r="6" spans="1:16" s="151" customFormat="1" x14ac:dyDescent="0.2">
      <c r="A6" s="151" t="s">
        <v>162</v>
      </c>
      <c r="B6" s="121">
        <v>48076.92</v>
      </c>
      <c r="C6" s="151">
        <v>24</v>
      </c>
      <c r="D6" s="152">
        <v>1E-4</v>
      </c>
      <c r="E6" s="152">
        <v>0</v>
      </c>
      <c r="F6" s="152">
        <v>3.5000000000000003E-2</v>
      </c>
      <c r="G6" s="151" t="str">
        <f>I$2&amp;" "&amp;B6&amp;" "&amp;H$2</f>
        <v>max. 48076,92 грн.</v>
      </c>
      <c r="H6" s="184">
        <f t="shared" ref="H6" si="3">B6+B6*K6</f>
        <v>49999.996800000001</v>
      </c>
      <c r="I6" s="151">
        <v>10</v>
      </c>
      <c r="K6" s="183">
        <v>0.04</v>
      </c>
      <c r="L6" s="153">
        <f t="shared" ref="L6" si="4">D6/12/(1-1/POWER(1+D6/12,C6))*H6+H6*F6</f>
        <v>3833.5501087963253</v>
      </c>
      <c r="M6" s="154">
        <f>F6</f>
        <v>3.5000000000000003E-2</v>
      </c>
      <c r="N6" s="154"/>
      <c r="O6" s="155">
        <v>0</v>
      </c>
      <c r="P6" s="151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 I-Shop_Дзвінок</vt:lpstr>
      <vt:lpstr>Перелік партнерів</vt:lpstr>
      <vt:lpstr>Назви</vt:lpstr>
      <vt:lpstr>Лист2</vt:lpstr>
      <vt:lpstr>' I-Shop_Дзвінок'!Область_друку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2025-07-21T12:57:55Z</dcterms:modified>
</cp:coreProperties>
</file>