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89D4C20B-9733-4A27-B342-02DEBFFB2E46}" xr6:coauthVersionLast="47" xr6:coauthVersionMax="47" xr10:uidLastSave="{00000000-0000-0000-0000-000000000000}"/>
  <workbookProtection workbookAlgorithmName="SHA-512" workbookHashValue="Pft1dzTigRhE17XBVr1B/bB7Y4JQjzbSM8dmThbkcXd2fGoNstteKbkpccL5gNbEGUkrCkoBSBY8x1Bir52Rmw==" workbookSaltValue="xDlB35sWEkCxbhf+U2gfLg==" workbookSpinCount="100000" lockStructure="1"/>
  <bookViews>
    <workbookView xWindow="-120" yWindow="-120" windowWidth="29040" windowHeight="15990" tabRatio="863" xr2:uid="{00000000-000D-0000-FFFF-FFFF00000000}"/>
  </bookViews>
  <sheets>
    <sheet name="I-Shop_Грейсові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'I-Shop_Грейсові'!$A$1:$I$103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1" i="164" l="1"/>
  <c r="L12" i="164"/>
  <c r="H9" i="165"/>
  <c r="L9" i="165" s="1"/>
  <c r="H8" i="165"/>
  <c r="M9" i="165"/>
  <c r="G9" i="165"/>
  <c r="M8" i="165"/>
  <c r="L8" i="165"/>
  <c r="G8" i="165"/>
  <c r="L8" i="164"/>
  <c r="L9" i="164"/>
  <c r="L10" i="164"/>
  <c r="H7" i="165"/>
  <c r="L7" i="165" s="1"/>
  <c r="H6" i="165"/>
  <c r="L6" i="165" s="1"/>
  <c r="M6" i="165"/>
  <c r="G6" i="165"/>
  <c r="M5" i="165"/>
  <c r="H5" i="165"/>
  <c r="L5" i="165" s="1"/>
  <c r="G5" i="165"/>
  <c r="M4" i="165"/>
  <c r="H4" i="165"/>
  <c r="L4" i="165" s="1"/>
  <c r="G4" i="165"/>
  <c r="M7" i="165"/>
  <c r="G7" i="165"/>
  <c r="E2" i="164" l="1"/>
  <c r="G39" i="164" l="1"/>
  <c r="G2" i="164" l="1"/>
  <c r="B28" i="164"/>
  <c r="B26" i="164"/>
  <c r="B24" i="164"/>
  <c r="B11" i="164"/>
  <c r="F17" i="164" l="1"/>
  <c r="L7" i="164"/>
  <c r="H3" i="164" l="1"/>
  <c r="F2" i="164"/>
  <c r="F21" i="164"/>
  <c r="F13" i="164"/>
  <c r="F15" i="164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6" i="164"/>
  <c r="F58" i="164"/>
  <c r="F62" i="164"/>
  <c r="F44" i="164"/>
  <c r="F48" i="164"/>
  <c r="F52" i="164"/>
  <c r="F56" i="164"/>
  <c r="F60" i="164"/>
  <c r="F40" i="164"/>
  <c r="F50" i="164"/>
  <c r="F41" i="164"/>
  <c r="F45" i="164"/>
  <c r="F49" i="164"/>
  <c r="F53" i="164"/>
  <c r="F57" i="164"/>
  <c r="F61" i="164"/>
  <c r="F42" i="164"/>
  <c r="F54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59" i="164" l="1"/>
  <c r="F100" i="164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<sst xmlns="http://schemas.openxmlformats.org/spreadsheetml/2006/main" count="174" uniqueCount="166">
  <si>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</si>
  <si>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</si>
  <si>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</si>
  <si>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</si>
  <si>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</si>
  <si>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</si>
  <si>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</si>
  <si>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</si>
  <si>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</si>
  <si>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</si>
  <si>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</si>
  <si>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</si>
  <si>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</si>
  <si>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</si>
  <si>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</si>
  <si>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</si>
  <si>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</si>
  <si>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</si>
  <si>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</si>
  <si>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</si>
  <si>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</si>
  <si>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</si>
  <si>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</si>
  <si>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</si>
  <si>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</si>
  <si>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</si>
  <si>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</si>
  <si>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</si>
  <si>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</si>
  <si>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</si>
  <si>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</si>
  <si>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</si>
  <si>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</si>
  <si>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</si>
  <si>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</si>
  <si>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</si>
  <si>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</si>
  <si>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</si>
  <si>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</si>
  <si>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</si>
  <si>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</si>
  <si>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</si>
  <si>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</si>
  <si>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</si>
  <si>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</si>
  <si>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</si>
  <si>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</si>
  <si>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</si>
  <si>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</si>
  <si>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</si>
  <si>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</si>
  <si>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</si>
  <si>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</si>
  <si>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</si>
  <si>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</si>
  <si>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</si>
  <si>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</si>
  <si>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</si>
  <si>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</si>
  <si>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</si>
  <si>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</si>
  <si>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</si>
  <si>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</si>
  <si>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</si>
  <si>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</si>
  <si>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</si>
  <si>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</si>
  <si>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</si>
  <si>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</si>
  <si>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</si>
  <si>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</si>
  <si>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</si>
  <si>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</si>
  <si>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</si>
  <si>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</si>
  <si>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</si>
  <si>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</si>
  <si>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</si>
  <si>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</si>
  <si>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</si>
  <si>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</si>
  <si>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</si>
  <si>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</si>
  <si>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</si>
  <si>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</si>
  <si>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</si>
  <si>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</si>
  <si>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</si>
  <si>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</si>
  <si>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</si>
  <si>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</si>
  <si>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</si>
  <si>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</si>
  <si>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</si>
  <si>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</si>
  <si>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</si>
  <si>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</si>
  <si>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</si>
  <si>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</si>
  <si>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</si>
  <si>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</si>
  <si>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</si>
  <si>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</si>
  <si>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</si>
  <si>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</si>
  <si>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</si>
  <si>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</si>
  <si>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</si>
  <si>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</si>
  <si>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</si>
  <si>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</si>
  <si>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</si>
  <si>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</si>
  <si>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</si>
  <si>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</si>
  <si>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</si>
  <si>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</si>
  <si>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</si>
  <si>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</si>
  <si>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</si>
  <si>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</si>
  <si>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</si>
  <si>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</si>
  <si>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</si>
  <si>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</si>
  <si>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</si>
  <si>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</si>
  <si>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</si>
  <si>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</si>
  <si>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</si>
  <si>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</si>
  <si>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</si>
  <si>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</si>
  <si>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</si>
  <si>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</si>
  <si>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</si>
  <si>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</si>
  <si>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</si>
  <si>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</si>
  <si>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</si>
  <si>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</si>
  <si>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</si>
  <si>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</si>
  <si>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</si>
  <si>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</si>
  <si>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</si>
  <si>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</si>
  <si>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</si>
  <si>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</si>
  <si>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</si>
  <si>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</si>
  <si>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</si>
  <si>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</si>
  <si>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</si>
  <si>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</si>
  <si>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</si>
  <si>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</si>
  <si>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</si>
  <si>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</si>
  <si>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</si>
  <si>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Osnova_I-Shop_0-9-18</t>
  </si>
  <si>
    <t>Osnova_I-Shop_0-6-14</t>
  </si>
  <si>
    <t>Osnova_I-Shop_0-10-24</t>
  </si>
  <si>
    <t>Osnova_I-Shop_0-15-24</t>
  </si>
  <si>
    <t>Osnova_I-Shop_0-5-24</t>
  </si>
  <si>
    <t>Osnova_I-Shop_0-20-24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</si>
</sst>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16565</xdr:rowOff>
    </xdr:from>
    <xdr:to>
      <xdr:col>4</xdr:col>
      <xdr:colOff>0</xdr:colOff>
      <xdr:row>4</xdr:row>
      <xdr:rowOff>16564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6565"/>
          <a:ext cx="2327413" cy="629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="115" zoomScaleNormal="70" zoomScaleSheetLayoutView="11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8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VLOOKUP('I-Shop_Грейсові'!H2,Лист2!A:P,16,FALSE)</f>
        <v>10000</v>
      </c>
      <c r="F2" s="132">
        <f>VLOOKUP(H$2,Лист2!$A:$H,8,0)</f>
        <v>150000</v>
      </c>
      <c r="G2" s="177">
        <f ca="1">TODAY()</f>
        <v>45859</v>
      </c>
      <c r="H2" s="219" t="s">
        <v>165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56300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150000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>
        <v>935</v>
      </c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56300</v>
      </c>
      <c r="G7" s="164"/>
      <c r="H7" s="165"/>
      <c r="I7" s="42"/>
      <c r="J7" s="4"/>
      <c r="K7" s="37"/>
      <c r="L7" s="51" t="str">
        <f>Лист2!A4</f>
        <v>Osnova_I-Shop_0-9-18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Osnova_I-Shop_0-6-14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Osnova_I-Shop_0-10-24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Osnova_I-Shop_0-15-24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Osnova_I-Shop_0-5-24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str">
        <f>Лист2!A9</f>
        <v>Osnova_I-Shop_0-20-24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20</v>
      </c>
      <c r="G13" s="175"/>
      <c r="H13" s="173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6300</v>
      </c>
      <c r="G15" s="175"/>
      <c r="H15" s="173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3.5000000000000003E-2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56300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14193.259999999987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64193.259999999987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0.25401327013969421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2345.8333333333335</v>
      </c>
      <c r="E40" s="20">
        <f>IF(AND(B40&gt;F$13,B40&lt;=$F$21),F$7*F$19,0)</f>
        <v>0</v>
      </c>
      <c r="F40" s="182">
        <f>IF(B40&lt;=$F$21,F$7*F$9/12,0)</f>
        <v>0.46916666666666668</v>
      </c>
      <c r="G40" s="198">
        <f t="shared" ref="G40:G71" si="0">IF(B$40&lt;=F$21,D40+E40+F40,0)</f>
        <v>2346.3025000000002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2345.8333333333335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0.46916666666666668</v>
      </c>
      <c r="G41" s="198">
        <f t="shared" si="0"/>
        <v>2346.3025000000002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2345.8333333333335</v>
      </c>
      <c r="E42" s="20">
        <f t="shared" si="3"/>
        <v>0</v>
      </c>
      <c r="F42" s="182">
        <f t="shared" si="4"/>
        <v>0.46916666666666668</v>
      </c>
      <c r="G42" s="198">
        <f t="shared" si="0"/>
        <v>2346.3025000000002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2345.8333333333335</v>
      </c>
      <c r="E43" s="20">
        <f t="shared" si="3"/>
        <v>0</v>
      </c>
      <c r="F43" s="182">
        <f t="shared" si="4"/>
        <v>0.46916666666666668</v>
      </c>
      <c r="G43" s="198">
        <f t="shared" si="0"/>
        <v>2346.3025000000002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2345.8333333333335</v>
      </c>
      <c r="E44" s="20">
        <f t="shared" si="3"/>
        <v>0</v>
      </c>
      <c r="F44" s="182">
        <f t="shared" si="4"/>
        <v>0.46916666666666668</v>
      </c>
      <c r="G44" s="198">
        <f t="shared" si="0"/>
        <v>2346.3025000000002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2345.8333333333335</v>
      </c>
      <c r="E45" s="20">
        <f t="shared" si="3"/>
        <v>0</v>
      </c>
      <c r="F45" s="182">
        <f t="shared" si="4"/>
        <v>0.46916666666666668</v>
      </c>
      <c r="G45" s="198">
        <f t="shared" si="0"/>
        <v>2346.3025000000002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2345.8333333333335</v>
      </c>
      <c r="E46" s="20">
        <f t="shared" si="3"/>
        <v>0</v>
      </c>
      <c r="F46" s="182">
        <f t="shared" si="4"/>
        <v>0.46916666666666668</v>
      </c>
      <c r="G46" s="198">
        <f t="shared" si="0"/>
        <v>2346.3025000000002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2345.8333333333335</v>
      </c>
      <c r="E47" s="20">
        <f t="shared" si="3"/>
        <v>0</v>
      </c>
      <c r="F47" s="182">
        <f t="shared" si="4"/>
        <v>0.46916666666666668</v>
      </c>
      <c r="G47" s="198">
        <f t="shared" si="0"/>
        <v>2346.3025000000002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2345.8333333333335</v>
      </c>
      <c r="E48" s="20">
        <f t="shared" si="3"/>
        <v>0</v>
      </c>
      <c r="F48" s="182">
        <f t="shared" si="4"/>
        <v>0.46916666666666668</v>
      </c>
      <c r="G48" s="198">
        <f t="shared" si="0"/>
        <v>2346.3025000000002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2345.8333333333335</v>
      </c>
      <c r="E49" s="20">
        <f t="shared" si="3"/>
        <v>0</v>
      </c>
      <c r="F49" s="182">
        <f t="shared" si="4"/>
        <v>0.46916666666666668</v>
      </c>
      <c r="G49" s="198">
        <f t="shared" si="0"/>
        <v>2346.3025000000002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2345.8333333333335</v>
      </c>
      <c r="E50" s="20">
        <f t="shared" si="3"/>
        <v>0</v>
      </c>
      <c r="F50" s="182">
        <f t="shared" si="4"/>
        <v>0.46916666666666668</v>
      </c>
      <c r="G50" s="198">
        <f t="shared" si="0"/>
        <v>2346.3025000000002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2345.8333333333335</v>
      </c>
      <c r="E51" s="20">
        <f t="shared" si="3"/>
        <v>0</v>
      </c>
      <c r="F51" s="182">
        <f t="shared" si="4"/>
        <v>0.46916666666666668</v>
      </c>
      <c r="G51" s="198">
        <f t="shared" si="0"/>
        <v>2346.3025000000002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2345.8333333333335</v>
      </c>
      <c r="E52" s="20">
        <f t="shared" si="3"/>
        <v>0</v>
      </c>
      <c r="F52" s="182">
        <f t="shared" si="4"/>
        <v>0.46916666666666668</v>
      </c>
      <c r="G52" s="198">
        <f t="shared" si="0"/>
        <v>2346.3025000000002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2345.8333333333335</v>
      </c>
      <c r="E53" s="20">
        <f t="shared" si="3"/>
        <v>0</v>
      </c>
      <c r="F53" s="182">
        <f t="shared" si="4"/>
        <v>0.46916666666666668</v>
      </c>
      <c r="G53" s="198">
        <f t="shared" si="0"/>
        <v>2346.3025000000002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2345.8333333333335</v>
      </c>
      <c r="E54" s="20">
        <f t="shared" si="3"/>
        <v>0</v>
      </c>
      <c r="F54" s="182">
        <f t="shared" si="4"/>
        <v>0.46916666666666668</v>
      </c>
      <c r="G54" s="198">
        <f t="shared" si="0"/>
        <v>2346.3025000000002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2345.8333333333335</v>
      </c>
      <c r="E55" s="20">
        <f t="shared" si="3"/>
        <v>0</v>
      </c>
      <c r="F55" s="182">
        <f t="shared" si="4"/>
        <v>0.46916666666666668</v>
      </c>
      <c r="G55" s="198">
        <f t="shared" si="0"/>
        <v>2346.3025000000002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2345.8333333333335</v>
      </c>
      <c r="E56" s="20">
        <f t="shared" si="3"/>
        <v>0</v>
      </c>
      <c r="F56" s="182">
        <f t="shared" si="4"/>
        <v>0.46916666666666668</v>
      </c>
      <c r="G56" s="198">
        <f t="shared" si="0"/>
        <v>2346.3025000000002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2345.8333333333335</v>
      </c>
      <c r="E57" s="20">
        <f t="shared" si="3"/>
        <v>0</v>
      </c>
      <c r="F57" s="182">
        <f t="shared" si="4"/>
        <v>0.46916666666666668</v>
      </c>
      <c r="G57" s="198">
        <f t="shared" si="0"/>
        <v>2346.3025000000002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2345.8333333333335</v>
      </c>
      <c r="E58" s="20">
        <f t="shared" si="3"/>
        <v>0</v>
      </c>
      <c r="F58" s="182">
        <f t="shared" si="4"/>
        <v>0.46916666666666668</v>
      </c>
      <c r="G58" s="198">
        <f t="shared" si="0"/>
        <v>2346.3025000000002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2345.8333333333335</v>
      </c>
      <c r="E59" s="20">
        <f t="shared" si="3"/>
        <v>0</v>
      </c>
      <c r="F59" s="182">
        <f t="shared" si="4"/>
        <v>0.46916666666666668</v>
      </c>
      <c r="G59" s="198">
        <f t="shared" si="0"/>
        <v>2346.3025000000002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2345.8333333333335</v>
      </c>
      <c r="E60" s="20">
        <f t="shared" si="3"/>
        <v>1970.5000000000002</v>
      </c>
      <c r="F60" s="182">
        <f t="shared" si="4"/>
        <v>0.46916666666666668</v>
      </c>
      <c r="G60" s="198">
        <f t="shared" si="0"/>
        <v>4316.8025000000007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2345.8333333333335</v>
      </c>
      <c r="E61" s="20">
        <f t="shared" si="3"/>
        <v>1970.5000000000002</v>
      </c>
      <c r="F61" s="182">
        <f t="shared" si="4"/>
        <v>0.46916666666666668</v>
      </c>
      <c r="G61" s="198">
        <f t="shared" si="0"/>
        <v>4316.8025000000007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2345.8333333333335</v>
      </c>
      <c r="E62" s="20">
        <f t="shared" si="3"/>
        <v>1970.5000000000002</v>
      </c>
      <c r="F62" s="182">
        <f t="shared" si="4"/>
        <v>0.46916666666666668</v>
      </c>
      <c r="G62" s="198">
        <f t="shared" si="0"/>
        <v>4316.8025000000007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2345.8333333333335</v>
      </c>
      <c r="E63" s="20">
        <f t="shared" si="3"/>
        <v>1970.5000000000002</v>
      </c>
      <c r="F63" s="182">
        <f t="shared" si="4"/>
        <v>0.46916666666666668</v>
      </c>
      <c r="G63" s="198">
        <f t="shared" si="0"/>
        <v>4316.8025000000007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56300.000000000022</v>
      </c>
      <c r="E100" s="93">
        <f>SUM(E40:E99)</f>
        <v>7882.0000000000009</v>
      </c>
      <c r="F100" s="99">
        <f>SUM(F40:F99)</f>
        <v>11.259999999999994</v>
      </c>
      <c r="G100" s="211">
        <f>SUM(G40:H99)</f>
        <v>64193.259999999987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KL20GTw9jRv3B6NMKRgOaV/hn082A6ffyKvS1Y0/Rog3NcGeyGPT0w1yk2DwHAOChelj9XgLGQNIt/u/xsvnKw==" saltValue="ul8mRJ4/IU9B/Ntm4M9zi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$L$7:$L$12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"/>
  <sheetViews>
    <sheetView zoomScale="85" zoomScaleNormal="85" workbookViewId="0">
      <selection activeCell="F20" sqref="F20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140186.92000000001</v>
      </c>
      <c r="C4" s="151">
        <v>18</v>
      </c>
      <c r="D4" s="152">
        <v>1E-4</v>
      </c>
      <c r="E4" s="152">
        <v>0</v>
      </c>
      <c r="F4" s="152">
        <v>3.5000000000000003E-2</v>
      </c>
      <c r="G4" s="151" t="str">
        <f t="shared" ref="G4:G5" si="0">I$2&amp;" "&amp;B4&amp;" "&amp;H$2</f>
        <v>max. 140186,92 грн.</v>
      </c>
      <c r="H4" s="185">
        <f t="shared" ref="H4:H7" si="1">B4+B4*K4</f>
        <v>150000.00440000001</v>
      </c>
      <c r="I4" s="151">
        <v>9</v>
      </c>
      <c r="K4" s="184">
        <v>7.0000000000000007E-2</v>
      </c>
      <c r="L4" s="153">
        <f t="shared" ref="L4:L6" si="2">D4/12/(1-1/POWER(1+D4/12,C4))*H4+H4*F4</f>
        <v>13583.99346955281</v>
      </c>
      <c r="M4" s="154">
        <f t="shared" ref="M4:M5" si="3">F4</f>
        <v>3.5000000000000003E-2</v>
      </c>
      <c r="N4" s="154"/>
      <c r="O4" s="155">
        <v>0</v>
      </c>
      <c r="P4" s="151">
        <v>1000</v>
      </c>
    </row>
    <row r="5" spans="1:16" x14ac:dyDescent="0.2">
      <c r="A5" s="151" t="s">
        <v>161</v>
      </c>
      <c r="B5" s="121">
        <v>142857.14000000001</v>
      </c>
      <c r="C5" s="151">
        <v>14</v>
      </c>
      <c r="D5" s="152">
        <v>1E-4</v>
      </c>
      <c r="E5" s="152">
        <v>0</v>
      </c>
      <c r="F5" s="152">
        <v>3.5000000000000003E-2</v>
      </c>
      <c r="G5" s="151" t="str">
        <f t="shared" si="0"/>
        <v>max. 142857,14 грн.</v>
      </c>
      <c r="H5" s="185">
        <f t="shared" si="1"/>
        <v>149999.997</v>
      </c>
      <c r="I5" s="151">
        <v>6</v>
      </c>
      <c r="J5" s="151"/>
      <c r="K5" s="184">
        <v>0.05</v>
      </c>
      <c r="L5" s="153">
        <f t="shared" si="2"/>
        <v>15964.95504988804</v>
      </c>
      <c r="M5" s="154">
        <f t="shared" si="3"/>
        <v>3.5000000000000003E-2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21">
        <v>136363.64000000001</v>
      </c>
      <c r="C6" s="151">
        <v>24</v>
      </c>
      <c r="D6" s="152">
        <v>1E-4</v>
      </c>
      <c r="E6" s="152">
        <v>0</v>
      </c>
      <c r="F6" s="152">
        <v>3.9899999999999998E-2</v>
      </c>
      <c r="G6" s="151" t="str">
        <f>I$2&amp;" "&amp;B6&amp;" "&amp;H$2</f>
        <v>max. 136363,64 грн.</v>
      </c>
      <c r="H6" s="185">
        <f t="shared" si="1"/>
        <v>150000.00400000002</v>
      </c>
      <c r="I6" s="151">
        <v>10</v>
      </c>
      <c r="J6" s="151"/>
      <c r="K6" s="184">
        <v>0.1</v>
      </c>
      <c r="L6" s="153">
        <f t="shared" si="2"/>
        <v>12235.651388714672</v>
      </c>
      <c r="M6" s="154">
        <f>F6</f>
        <v>3.9899999999999998E-2</v>
      </c>
      <c r="N6" s="154"/>
      <c r="O6" s="155">
        <v>0</v>
      </c>
      <c r="P6" s="151">
        <v>1000</v>
      </c>
    </row>
    <row r="7" spans="1:16" ht="13.5" customHeight="1" x14ac:dyDescent="0.2">
      <c r="A7" s="151" t="s">
        <v>163</v>
      </c>
      <c r="B7" s="121">
        <v>131578.95000000001</v>
      </c>
      <c r="C7" s="151">
        <v>24</v>
      </c>
      <c r="D7" s="152">
        <v>1E-4</v>
      </c>
      <c r="E7" s="152">
        <v>0</v>
      </c>
      <c r="F7" s="152">
        <v>3.5000000000000003E-2</v>
      </c>
      <c r="G7" s="151" t="str">
        <f>I$2&amp;" "&amp;B7&amp;" "&amp;H$2</f>
        <v>max. 131578,95 грн.</v>
      </c>
      <c r="H7" s="185">
        <f t="shared" si="1"/>
        <v>150000.00300000003</v>
      </c>
      <c r="I7" s="151">
        <v>15</v>
      </c>
      <c r="J7" s="151"/>
      <c r="K7" s="184">
        <v>0.14000000000000001</v>
      </c>
      <c r="L7" s="153">
        <f t="shared" ref="L7:L8" si="4">D7/12/(1-1/POWER(1+D7/12,C7))*H7+H7*F7</f>
        <v>11500.651292443667</v>
      </c>
      <c r="M7" s="154">
        <f>F7</f>
        <v>3.5000000000000003E-2</v>
      </c>
      <c r="N7" s="154"/>
      <c r="O7" s="155">
        <v>0</v>
      </c>
      <c r="P7" s="151">
        <v>1000</v>
      </c>
    </row>
    <row r="8" spans="1:16" x14ac:dyDescent="0.2">
      <c r="A8" s="151" t="s">
        <v>164</v>
      </c>
      <c r="B8" s="121">
        <v>149200</v>
      </c>
      <c r="C8" s="151">
        <v>24</v>
      </c>
      <c r="D8" s="152">
        <v>1E-4</v>
      </c>
      <c r="E8" s="152">
        <v>0</v>
      </c>
      <c r="F8" s="152">
        <v>4.99E-2</v>
      </c>
      <c r="G8" s="151" t="str">
        <f>I$2&amp;" "&amp;B8&amp;" "&amp;H$2</f>
        <v>max. 149200 грн.</v>
      </c>
      <c r="H8" s="185">
        <f>B8+J8</f>
        <v>150000</v>
      </c>
      <c r="I8" s="151">
        <v>5</v>
      </c>
      <c r="J8" s="151">
        <v>800</v>
      </c>
      <c r="K8" s="184">
        <v>0</v>
      </c>
      <c r="L8" s="153">
        <f t="shared" si="4"/>
        <v>13735.651062430643</v>
      </c>
      <c r="M8" s="154">
        <f>F8</f>
        <v>4.99E-2</v>
      </c>
      <c r="N8" s="154"/>
      <c r="O8" s="155">
        <v>0</v>
      </c>
      <c r="P8" s="151">
        <v>1000</v>
      </c>
    </row>
    <row r="9" spans="1:16" ht="13.5" customHeight="1" x14ac:dyDescent="0.2">
      <c r="A9" s="151" t="s">
        <v>165</v>
      </c>
      <c r="B9" s="121">
        <v>143700</v>
      </c>
      <c r="C9" s="151">
        <v>24</v>
      </c>
      <c r="D9" s="152">
        <v>1E-4</v>
      </c>
      <c r="E9" s="152">
        <v>0</v>
      </c>
      <c r="F9" s="152">
        <v>3.5000000000000003E-2</v>
      </c>
      <c r="G9" s="151" t="str">
        <f>I$2&amp;" "&amp;B9&amp;" "&amp;H$2</f>
        <v>max. 143700 грн.</v>
      </c>
      <c r="H9" s="185">
        <f>B9+J9</f>
        <v>150000</v>
      </c>
      <c r="I9" s="151">
        <v>20</v>
      </c>
      <c r="J9" s="151">
        <v>6300</v>
      </c>
      <c r="K9" s="184">
        <v>0</v>
      </c>
      <c r="L9" s="153">
        <f t="shared" ref="L9" si="5">D9/12/(1-1/POWER(1+D9/12,C9))*H9+H9*F9</f>
        <v>11500.651062430645</v>
      </c>
      <c r="M9" s="154">
        <f>F9</f>
        <v>3.5000000000000003E-2</v>
      </c>
      <c r="N9" s="154"/>
      <c r="O9" s="155">
        <v>0</v>
      </c>
      <c r="P9" s="151">
        <v>10000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I-Shop_Грейсові</vt:lpstr>
      <vt:lpstr>Перелік партнерів</vt:lpstr>
      <vt:lpstr>Назви</vt:lpstr>
      <vt:lpstr>Лист2</vt:lpstr>
      <vt:lpstr>'I-Shop_Грейсові'!Область_друку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2025-07-21T12:23:00Z</dcterms:modified>
</cp:coreProperties>
</file>