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8F4CBC66-6D83-4D6B-BC87-78E865EDFB0E}" xr6:coauthVersionLast="47" xr6:coauthVersionMax="47" xr10:uidLastSave="{00000000-0000-0000-0000-000000000000}"/>
  <workbookProtection workbookAlgorithmName="SHA-512" workbookHashValue="m8Hd7/rl1Xnoe3Y21PKlS1rR7Nl1UiSkSJ0Bq7a0NIZe7I3RrpDf5npxjecOc0QgBnbjzeLvjB5eyWzRGHI5rg==" workbookSaltValue="HF66Yuyt+D+3k1km4dnhDQ==" workbookSpinCount="100000" lockStructure="1"/>
  <bookViews>
    <workbookView xWindow="-120" yWindow="-120" windowWidth="29040" windowHeight="15990" tabRatio="863" xr2:uid="{00000000-000D-0000-FFFF-FFFF00000000}"/>
  </bookViews>
  <sheets>
    <sheet name="NST Ідея_ФОП Шерстюк К.B.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Ідея_ФОП Шерстюк К.B.'!$A$1:$I$103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/>
  <c r="L9" i="164"/>
  <c r="L10" i="164"/>
  <c r="L11" i="164"/>
  <c r="M4" i="165"/>
  <c r="H4" i="165"/>
  <c r="L4" i="165" s="1"/>
  <c r="G4" i="165"/>
  <c r="M8" i="165"/>
  <c r="L8" i="165"/>
  <c r="H8" i="165"/>
  <c r="G8" i="165"/>
  <c r="M7" i="165"/>
  <c r="H7" i="165"/>
  <c r="L7" i="165" s="1"/>
  <c r="G7" i="165"/>
  <c r="H5" i="165" l="1"/>
  <c r="F2" i="164" s="1"/>
  <c r="H6" i="165"/>
  <c r="E2" i="164"/>
  <c r="G2" i="164"/>
  <c r="G3" i="164"/>
  <c r="G39" i="164" l="1"/>
  <c r="M6" i="165" l="1"/>
  <c r="L6" i="165"/>
  <c r="G6" i="165"/>
  <c r="H3" i="164" s="1"/>
  <c r="M5" i="165"/>
  <c r="L5" i="165"/>
  <c r="G5" i="165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7" i="164"/>
  <c r="F21" i="164" l="1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77" i="164" l="1"/>
  <c r="F81" i="164"/>
  <c r="F85" i="164"/>
  <c r="F89" i="164"/>
  <c r="F93" i="164"/>
  <c r="F97" i="164"/>
  <c r="F78" i="164"/>
  <c r="F82" i="164"/>
  <c r="F86" i="164"/>
  <c r="F90" i="164"/>
  <c r="F94" i="164"/>
  <c r="F98" i="164"/>
  <c r="F76" i="164"/>
  <c r="F80" i="164"/>
  <c r="F84" i="164"/>
  <c r="F88" i="164"/>
  <c r="F92" i="164"/>
  <c r="F96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66" i="164" l="1"/>
  <c r="F67" i="164"/>
  <c r="F68" i="164"/>
  <c r="F74" i="164"/>
  <c r="F69" i="164"/>
  <c r="F64" i="164"/>
  <c r="F70" i="164"/>
  <c r="F73" i="164"/>
  <c r="F75" i="164"/>
  <c r="F66" i="164"/>
  <c r="E64" i="164"/>
  <c r="E75" i="164"/>
  <c r="F71" i="164"/>
  <c r="F72" i="164"/>
  <c r="F65" i="164"/>
  <c r="F51" i="164"/>
  <c r="F48" i="164"/>
  <c r="F58" i="164"/>
  <c r="F42" i="164"/>
  <c r="F53" i="164"/>
  <c r="F63" i="164"/>
  <c r="F47" i="164"/>
  <c r="F60" i="164"/>
  <c r="F44" i="164"/>
  <c r="F54" i="164"/>
  <c r="F49" i="164"/>
  <c r="F59" i="164"/>
  <c r="F43" i="164"/>
  <c r="F56" i="164"/>
  <c r="F50" i="164"/>
  <c r="F61" i="164"/>
  <c r="F45" i="164"/>
  <c r="F55" i="164"/>
  <c r="F40" i="164"/>
  <c r="F52" i="164"/>
  <c r="F62" i="164"/>
  <c r="F46" i="164"/>
  <c r="F57" i="164"/>
  <c r="F41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1" i="164" l="1"/>
  <c r="G66" i="164"/>
  <c r="G64" i="164"/>
  <c r="G75" i="164"/>
  <c r="F100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<sst xmlns="http://schemas.openxmlformats.org/spreadsheetml/2006/main" count="173" uniqueCount="165">
  <si>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</si>
  <si>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</si>
  <si>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</si>
  <si>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</si>
  <si>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</si>
  <si>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</si>
  <si>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</si>
  <si>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</si>
  <si>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</si>
  <si>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</si>
  <si>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</si>
  <si>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</si>
  <si>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</si>
  <si>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</si>
  <si>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</si>
  <si>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</si>
  <si>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</si>
  <si>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</si>
  <si>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</si>
  <si>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</si>
  <si>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</si>
  <si>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</si>
  <si>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</si>
  <si>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</si>
  <si>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</si>
  <si>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</si>
  <si>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</si>
  <si>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</si>
  <si>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</si>
  <si>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</si>
  <si>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</si>
  <si>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</si>
  <si>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</si>
  <si>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</si>
  <si>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</si>
  <si>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</si>
  <si>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</si>
  <si>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</si>
  <si>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</si>
  <si>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</si>
  <si>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</si>
  <si>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</si>
  <si>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</si>
  <si>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</si>
  <si>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</si>
  <si>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</si>
  <si>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</si>
  <si>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</si>
  <si>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</si>
  <si>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</si>
  <si>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</si>
  <si>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</si>
  <si>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</si>
  <si>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</si>
  <si>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</si>
  <si>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</si>
  <si>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</si>
  <si>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</si>
  <si>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</si>
  <si>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</si>
  <si>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</si>
  <si>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</si>
  <si>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</si>
  <si>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</si>
  <si>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</si>
  <si>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</si>
  <si>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</si>
  <si>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</si>
  <si>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</si>
  <si>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</si>
  <si>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</si>
  <si>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</si>
  <si>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</si>
  <si>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</si>
  <si>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</si>
  <si>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</si>
  <si>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</si>
  <si>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</si>
  <si>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</si>
  <si>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</si>
  <si>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</si>
  <si>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</si>
  <si>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</si>
  <si>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</si>
  <si>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</si>
  <si>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</si>
  <si>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</si>
  <si>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</si>
  <si>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</si>
  <si>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</si>
  <si>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</si>
  <si>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</si>
  <si>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</si>
  <si>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</si>
  <si>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</si>
  <si>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</si>
  <si>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</si>
  <si>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</si>
  <si>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</si>
  <si>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</si>
  <si>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</si>
  <si>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</si>
  <si>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</si>
  <si>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</si>
  <si>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</si>
  <si>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</si>
  <si>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</si>
  <si>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</si>
  <si>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</si>
  <si>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</si>
  <si>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</si>
  <si>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</si>
  <si>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</si>
  <si>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</si>
  <si>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</si>
  <si>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</si>
  <si>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</si>
  <si>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</si>
  <si>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</si>
  <si>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</si>
  <si>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</si>
  <si>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</si>
  <si>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</si>
  <si>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</si>
  <si>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</si>
  <si>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</si>
  <si>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</si>
  <si>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</si>
  <si>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</si>
  <si>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</si>
  <si>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</si>
  <si>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</si>
  <si>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</si>
  <si>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</si>
  <si>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</si>
  <si>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</si>
  <si>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</si>
  <si>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</si>
  <si>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</si>
  <si>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</si>
  <si>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</si>
  <si>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</si>
  <si>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</si>
  <si>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</si>
  <si>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</si>
  <si>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</si>
  <si>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</si>
  <si>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</si>
  <si>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</si>
  <si>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</si>
  <si>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</si>
  <si>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</si>
  <si>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</si>
  <si>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</si>
  <si>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</si>
  <si>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</si>
  <si>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</si>
  <si>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</si>
  <si>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</si>
  <si>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</si>
  <si>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Технотоп_0-0-36</t>
  </si>
  <si>
    <t>NST Ідея Технотоп_0-0-24</t>
  </si>
  <si>
    <t>NST Ідея Технотоп_0-6-12</t>
  </si>
  <si>
    <t>NST Ідея Технотоп_0-0-12</t>
  </si>
  <si>
    <t>NST Ідея Технотоп_0-9-24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</si>
</sst>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0" fontId="0" fillId="11" borderId="0" xfId="0" applyNumberFormat="1" applyFill="1" applyProtection="1">
      <protection hidden="1"/>
    </xf>
    <xf numFmtId="10" fontId="0" fillId="0" borderId="0" xfId="0" applyNumberFormat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952499</xdr:colOff>
      <xdr:row>3</xdr:row>
      <xdr:rowOff>85725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0" y="0"/>
          <a:ext cx="2228849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7" t="s">
        <v>48</v>
      </c>
      <c r="I1" s="187"/>
    </row>
    <row r="2" spans="1:45" ht="12.75" customHeight="1" x14ac:dyDescent="0.2">
      <c r="A2" s="2"/>
      <c r="B2" s="88"/>
      <c r="C2" s="88"/>
      <c r="D2" s="88"/>
      <c r="E2" s="109">
        <f>VLOOKUP('NST Ідея_ФОП Шерстюк К.B.'!H2,Лист2!A:P,16,FALSE)</f>
        <v>1000</v>
      </c>
      <c r="F2" s="132">
        <f>VLOOKUP(H$2,Лист2!$A:$H,8,0)</f>
        <v>199999.99859999999</v>
      </c>
      <c r="G2" s="177">
        <f ca="1">TODAY()</f>
        <v>45855</v>
      </c>
      <c r="H2" s="194" t="s">
        <v>160</v>
      </c>
      <c r="I2" s="195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199999.99859999999</v>
      </c>
      <c r="F3" s="196" t="str">
        <f>IF(E3="x","Збільшіть суму",IF(E3="y","Зменшіть суму",""))</f>
        <v/>
      </c>
      <c r="G3" s="133">
        <f>Назви!B32</f>
        <v>30.4</v>
      </c>
      <c r="H3" s="198" t="str">
        <f>VLOOKUP(H$2,Лист2!$A:$G,7,0)</f>
        <v>max. 196078,43 грн.</v>
      </c>
      <c r="I3" s="199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7"/>
      <c r="G4" s="112"/>
      <c r="H4" s="162"/>
      <c r="I4" s="120"/>
      <c r="J4" s="35"/>
      <c r="AA4" s="51"/>
    </row>
    <row r="5" spans="1:45" ht="21" thickBot="1" x14ac:dyDescent="0.25">
      <c r="A5" s="1"/>
      <c r="B5" s="200" t="s">
        <v>42</v>
      </c>
      <c r="C5" s="201"/>
      <c r="D5" s="201"/>
      <c r="E5" s="202"/>
      <c r="F5" s="161">
        <v>196078.43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1" t="s">
        <v>43</v>
      </c>
      <c r="C7" s="192"/>
      <c r="D7" s="192"/>
      <c r="E7" s="193"/>
      <c r="F7" s="163">
        <f>F5+F5*F11+F15+F5*F17</f>
        <v>199999.99859999999</v>
      </c>
      <c r="G7" s="164"/>
      <c r="H7" s="165"/>
      <c r="I7" s="42"/>
      <c r="J7" s="4"/>
      <c r="K7" s="37"/>
      <c r="L7" s="51" t="str">
        <f>Лист2!A4</f>
        <v>NST Ідея Технотоп_0-0-12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8"/>
      <c r="B8" s="188"/>
      <c r="C8" s="188"/>
      <c r="D8" s="188"/>
      <c r="E8" s="188"/>
      <c r="F8" s="189"/>
      <c r="G8" s="188"/>
      <c r="H8" s="188"/>
      <c r="I8" s="188"/>
      <c r="J8" s="4"/>
      <c r="K8" s="37"/>
      <c r="L8" s="51" t="str">
        <f>Лист2!A5</f>
        <v>NST Ідея Технотоп_0-0-24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3" t="str">
        <f>Назви!A3</f>
        <v>Процентна ставка, % річних</v>
      </c>
      <c r="C9" s="204">
        <f>Назви!B3</f>
        <v>0</v>
      </c>
      <c r="D9" s="204">
        <f>Назви!C3</f>
        <v>0</v>
      </c>
      <c r="E9" s="204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Технотоп_0-0-36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Технотоп_0-6-12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5" t="str">
        <f>Назви!A5</f>
        <v>Разовий страховий тариф, %</v>
      </c>
      <c r="C11" s="206">
        <f>Назви!B5</f>
        <v>0</v>
      </c>
      <c r="D11" s="206">
        <f>Назви!C5</f>
        <v>0</v>
      </c>
      <c r="E11" s="20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Технотоп_0-9-24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7" t="s">
        <v>41</v>
      </c>
      <c r="C13" s="207"/>
      <c r="D13" s="207"/>
      <c r="E13" s="205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7" t="s">
        <v>39</v>
      </c>
      <c r="C15" s="207"/>
      <c r="D15" s="207"/>
      <c r="E15" s="205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7" t="s">
        <v>40</v>
      </c>
      <c r="C17" s="207"/>
      <c r="D17" s="207"/>
      <c r="E17" s="207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5" t="str">
        <f>Назви!A7</f>
        <v xml:space="preserve">Щомісячна плата за обслуговування кредитної заборгованості, % </v>
      </c>
      <c r="C19" s="206">
        <f>Назви!B7</f>
        <v>0</v>
      </c>
      <c r="D19" s="206">
        <f>Назви!C7</f>
        <v>0</v>
      </c>
      <c r="E19" s="230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5" t="str">
        <f>Назви!A9</f>
        <v>Термін кредитування (міс.)</v>
      </c>
      <c r="C21" s="206">
        <f>Назви!B9</f>
        <v>0</v>
      </c>
      <c r="D21" s="206">
        <f>Назви!C9</f>
        <v>0</v>
      </c>
      <c r="E21" s="230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199999.99859999999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5" t="str">
        <f>Назви!A14</f>
        <v>Орієнтовні загальні витрати за кредитом, грн.</v>
      </c>
      <c r="C24" s="226"/>
      <c r="D24" s="226"/>
      <c r="E24" s="226"/>
      <c r="F24" s="160">
        <f>G100-F5</f>
        <v>183981.56733958016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5" t="str">
        <f>Назви!A16</f>
        <v>Орієнтовна загальна вартість кредиту, грн.</v>
      </c>
      <c r="C26" s="226">
        <f>Назви!B14</f>
        <v>0</v>
      </c>
      <c r="D26" s="226">
        <f>Назви!C14</f>
        <v>0</v>
      </c>
      <c r="E26" s="227">
        <f>Назви!D14</f>
        <v>0</v>
      </c>
      <c r="F26" s="144">
        <f>F5+F24</f>
        <v>380059.99733958015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5" t="str">
        <f>Назви!A18</f>
        <v>Реальна річна процентна ставка, %</v>
      </c>
      <c r="C28" s="226">
        <f>Назви!B16</f>
        <v>0</v>
      </c>
      <c r="D28" s="226">
        <f>Назви!C16</f>
        <v>0</v>
      </c>
      <c r="E28" s="227">
        <f>Назви!D16</f>
        <v>0</v>
      </c>
      <c r="F28" s="147">
        <f ca="1">XIRR(G39:G87,C39:C87)</f>
        <v>0.62369884848594681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8" t="str">
        <f>Назви!A19</f>
        <v>Інший термін</v>
      </c>
      <c r="C30" s="229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8" t="s">
        <v>32</v>
      </c>
      <c r="C31" s="219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8" t="s">
        <v>33</v>
      </c>
      <c r="C32" s="219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8" t="s">
        <v>9</v>
      </c>
      <c r="C33" s="219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8"/>
      <c r="C34" s="219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20" t="str">
        <f>Назви!A26</f>
        <v xml:space="preserve">ГРАФІК СПЛАТИ КРЕДИТУ </v>
      </c>
      <c r="C37" s="221"/>
      <c r="D37" s="221"/>
      <c r="E37" s="221"/>
      <c r="F37" s="221"/>
      <c r="G37" s="221"/>
      <c r="H37" s="22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3" t="str">
        <f>Назви!A27</f>
        <v>Місяць</v>
      </c>
      <c r="C38" s="22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3" t="str">
        <f>Назви!F27</f>
        <v>Загальна сума внесків до повернення в місяць, грн.</v>
      </c>
      <c r="H38" s="22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-196078.43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5555.5555166666663</v>
      </c>
      <c r="E40" s="20">
        <f>IF(AND(B40&gt;F$13,B40&lt;=$F$21),F$7*F$19,0)</f>
        <v>4999.999965</v>
      </c>
      <c r="F40" s="182">
        <f>IF(B40&lt;=$F$21,F$7*F$9/12,0)</f>
        <v>1.666666655</v>
      </c>
      <c r="G40" s="209">
        <f t="shared" ref="G40:G71" si="0">IF(B$40&lt;=F$21,D40+E40+F40,0)</f>
        <v>10557.222148321667</v>
      </c>
      <c r="H40" s="20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5555.5555166666663</v>
      </c>
      <c r="E41" s="20">
        <f t="shared" ref="E41:E99" si="3">IF(AND(B41&gt;F$13,B41&lt;=$F$21),F$7*F$19,0)</f>
        <v>4999.999965</v>
      </c>
      <c r="F41" s="182">
        <f t="shared" ref="F41:F99" si="4">IF(B41&lt;=$F$21,F$7*F$9/12,0)</f>
        <v>1.666666655</v>
      </c>
      <c r="G41" s="209">
        <f t="shared" si="0"/>
        <v>10557.222148321667</v>
      </c>
      <c r="H41" s="20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5555.5555166666663</v>
      </c>
      <c r="E42" s="20">
        <f t="shared" si="3"/>
        <v>4999.999965</v>
      </c>
      <c r="F42" s="182">
        <f t="shared" si="4"/>
        <v>1.666666655</v>
      </c>
      <c r="G42" s="209">
        <f t="shared" si="0"/>
        <v>10557.222148321667</v>
      </c>
      <c r="H42" s="20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5555.5555166666663</v>
      </c>
      <c r="E43" s="20">
        <f t="shared" si="3"/>
        <v>4999.999965</v>
      </c>
      <c r="F43" s="182">
        <f t="shared" si="4"/>
        <v>1.666666655</v>
      </c>
      <c r="G43" s="209">
        <f t="shared" si="0"/>
        <v>10557.222148321667</v>
      </c>
      <c r="H43" s="20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5555.5555166666663</v>
      </c>
      <c r="E44" s="20">
        <f t="shared" si="3"/>
        <v>4999.999965</v>
      </c>
      <c r="F44" s="182">
        <f t="shared" si="4"/>
        <v>1.666666655</v>
      </c>
      <c r="G44" s="209">
        <f t="shared" si="0"/>
        <v>10557.222148321667</v>
      </c>
      <c r="H44" s="20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5555.5555166666663</v>
      </c>
      <c r="E45" s="20">
        <f t="shared" si="3"/>
        <v>4999.999965</v>
      </c>
      <c r="F45" s="182">
        <f t="shared" si="4"/>
        <v>1.666666655</v>
      </c>
      <c r="G45" s="209">
        <f t="shared" si="0"/>
        <v>10557.222148321667</v>
      </c>
      <c r="H45" s="20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5555.5555166666663</v>
      </c>
      <c r="E46" s="20">
        <f t="shared" si="3"/>
        <v>4999.999965</v>
      </c>
      <c r="F46" s="182">
        <f t="shared" si="4"/>
        <v>1.666666655</v>
      </c>
      <c r="G46" s="209">
        <f t="shared" si="0"/>
        <v>10557.222148321667</v>
      </c>
      <c r="H46" s="20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5555.5555166666663</v>
      </c>
      <c r="E47" s="20">
        <f t="shared" si="3"/>
        <v>4999.999965</v>
      </c>
      <c r="F47" s="182">
        <f t="shared" si="4"/>
        <v>1.666666655</v>
      </c>
      <c r="G47" s="209">
        <f t="shared" si="0"/>
        <v>10557.222148321667</v>
      </c>
      <c r="H47" s="20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5555.5555166666663</v>
      </c>
      <c r="E48" s="20">
        <f t="shared" si="3"/>
        <v>4999.999965</v>
      </c>
      <c r="F48" s="182">
        <f t="shared" si="4"/>
        <v>1.666666655</v>
      </c>
      <c r="G48" s="209">
        <f t="shared" si="0"/>
        <v>10557.222148321667</v>
      </c>
      <c r="H48" s="20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5555.5555166666663</v>
      </c>
      <c r="E49" s="20">
        <f t="shared" si="3"/>
        <v>4999.999965</v>
      </c>
      <c r="F49" s="182">
        <f t="shared" si="4"/>
        <v>1.666666655</v>
      </c>
      <c r="G49" s="209">
        <f t="shared" si="0"/>
        <v>10557.222148321667</v>
      </c>
      <c r="H49" s="20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5555.5555166666663</v>
      </c>
      <c r="E50" s="20">
        <f t="shared" si="3"/>
        <v>4999.999965</v>
      </c>
      <c r="F50" s="182">
        <f t="shared" si="4"/>
        <v>1.666666655</v>
      </c>
      <c r="G50" s="209">
        <f t="shared" si="0"/>
        <v>10557.222148321667</v>
      </c>
      <c r="H50" s="20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5555.5555166666663</v>
      </c>
      <c r="E51" s="20">
        <f t="shared" si="3"/>
        <v>4999.999965</v>
      </c>
      <c r="F51" s="182">
        <f t="shared" si="4"/>
        <v>1.666666655</v>
      </c>
      <c r="G51" s="209">
        <f t="shared" si="0"/>
        <v>10557.222148321667</v>
      </c>
      <c r="H51" s="20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5555.5555166666663</v>
      </c>
      <c r="E52" s="20">
        <f t="shared" si="3"/>
        <v>4999.999965</v>
      </c>
      <c r="F52" s="182">
        <f t="shared" si="4"/>
        <v>1.666666655</v>
      </c>
      <c r="G52" s="209">
        <f t="shared" si="0"/>
        <v>10557.222148321667</v>
      </c>
      <c r="H52" s="20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5555.5555166666663</v>
      </c>
      <c r="E53" s="20">
        <f t="shared" si="3"/>
        <v>4999.999965</v>
      </c>
      <c r="F53" s="182">
        <f t="shared" si="4"/>
        <v>1.666666655</v>
      </c>
      <c r="G53" s="209">
        <f t="shared" si="0"/>
        <v>10557.222148321667</v>
      </c>
      <c r="H53" s="20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5555.5555166666663</v>
      </c>
      <c r="E54" s="20">
        <f t="shared" si="3"/>
        <v>4999.999965</v>
      </c>
      <c r="F54" s="182">
        <f t="shared" si="4"/>
        <v>1.666666655</v>
      </c>
      <c r="G54" s="209">
        <f t="shared" si="0"/>
        <v>10557.222148321667</v>
      </c>
      <c r="H54" s="20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5555.5555166666663</v>
      </c>
      <c r="E55" s="20">
        <f t="shared" si="3"/>
        <v>4999.999965</v>
      </c>
      <c r="F55" s="182">
        <f t="shared" si="4"/>
        <v>1.666666655</v>
      </c>
      <c r="G55" s="209">
        <f t="shared" si="0"/>
        <v>10557.222148321667</v>
      </c>
      <c r="H55" s="20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5555.5555166666663</v>
      </c>
      <c r="E56" s="20">
        <f t="shared" si="3"/>
        <v>4999.999965</v>
      </c>
      <c r="F56" s="182">
        <f t="shared" si="4"/>
        <v>1.666666655</v>
      </c>
      <c r="G56" s="209">
        <f t="shared" si="0"/>
        <v>10557.222148321667</v>
      </c>
      <c r="H56" s="20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5555.5555166666663</v>
      </c>
      <c r="E57" s="20">
        <f t="shared" si="3"/>
        <v>4999.999965</v>
      </c>
      <c r="F57" s="182">
        <f t="shared" si="4"/>
        <v>1.666666655</v>
      </c>
      <c r="G57" s="209">
        <f t="shared" si="0"/>
        <v>10557.222148321667</v>
      </c>
      <c r="H57" s="20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5555.5555166666663</v>
      </c>
      <c r="E58" s="20">
        <f t="shared" si="3"/>
        <v>4999.999965</v>
      </c>
      <c r="F58" s="182">
        <f t="shared" si="4"/>
        <v>1.666666655</v>
      </c>
      <c r="G58" s="209">
        <f t="shared" si="0"/>
        <v>10557.222148321667</v>
      </c>
      <c r="H58" s="20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5555.5555166666663</v>
      </c>
      <c r="E59" s="20">
        <f t="shared" si="3"/>
        <v>4999.999965</v>
      </c>
      <c r="F59" s="182">
        <f t="shared" si="4"/>
        <v>1.666666655</v>
      </c>
      <c r="G59" s="209">
        <f t="shared" si="0"/>
        <v>10557.222148321667</v>
      </c>
      <c r="H59" s="20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5555.5555166666663</v>
      </c>
      <c r="E60" s="20">
        <f t="shared" si="3"/>
        <v>4999.999965</v>
      </c>
      <c r="F60" s="182">
        <f t="shared" si="4"/>
        <v>1.666666655</v>
      </c>
      <c r="G60" s="209">
        <f t="shared" si="0"/>
        <v>10557.222148321667</v>
      </c>
      <c r="H60" s="20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5555.5555166666663</v>
      </c>
      <c r="E61" s="20">
        <f t="shared" si="3"/>
        <v>4999.999965</v>
      </c>
      <c r="F61" s="182">
        <f t="shared" si="4"/>
        <v>1.666666655</v>
      </c>
      <c r="G61" s="209">
        <f t="shared" si="0"/>
        <v>10557.222148321667</v>
      </c>
      <c r="H61" s="20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5555.5555166666663</v>
      </c>
      <c r="E62" s="20">
        <f t="shared" si="3"/>
        <v>4999.999965</v>
      </c>
      <c r="F62" s="182">
        <f t="shared" si="4"/>
        <v>1.666666655</v>
      </c>
      <c r="G62" s="209">
        <f t="shared" si="0"/>
        <v>10557.222148321667</v>
      </c>
      <c r="H62" s="20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5555.5555166666663</v>
      </c>
      <c r="E63" s="20">
        <f t="shared" si="3"/>
        <v>4999.999965</v>
      </c>
      <c r="F63" s="182">
        <f t="shared" si="4"/>
        <v>1.666666655</v>
      </c>
      <c r="G63" s="209">
        <f t="shared" si="0"/>
        <v>10557.222148321667</v>
      </c>
      <c r="H63" s="20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5555.5555166666663</v>
      </c>
      <c r="E64" s="20">
        <f t="shared" si="3"/>
        <v>4999.999965</v>
      </c>
      <c r="F64" s="182">
        <f t="shared" si="4"/>
        <v>1.666666655</v>
      </c>
      <c r="G64" s="209">
        <f t="shared" si="0"/>
        <v>10557.222148321667</v>
      </c>
      <c r="H64" s="20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5555.5555166666663</v>
      </c>
      <c r="E65" s="20">
        <f t="shared" si="3"/>
        <v>4999.999965</v>
      </c>
      <c r="F65" s="182">
        <f t="shared" si="4"/>
        <v>1.666666655</v>
      </c>
      <c r="G65" s="209">
        <f t="shared" si="0"/>
        <v>10557.222148321667</v>
      </c>
      <c r="H65" s="20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5555.5555166666663</v>
      </c>
      <c r="E66" s="20">
        <f t="shared" si="3"/>
        <v>4999.999965</v>
      </c>
      <c r="F66" s="182">
        <f t="shared" si="4"/>
        <v>1.666666655</v>
      </c>
      <c r="G66" s="209">
        <f t="shared" si="0"/>
        <v>10557.222148321667</v>
      </c>
      <c r="H66" s="20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5555.5555166666663</v>
      </c>
      <c r="E67" s="20">
        <f t="shared" si="3"/>
        <v>4999.999965</v>
      </c>
      <c r="F67" s="182">
        <f t="shared" si="4"/>
        <v>1.666666655</v>
      </c>
      <c r="G67" s="209">
        <f t="shared" si="0"/>
        <v>10557.222148321667</v>
      </c>
      <c r="H67" s="20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5555.5555166666663</v>
      </c>
      <c r="E68" s="20">
        <f t="shared" si="3"/>
        <v>4999.999965</v>
      </c>
      <c r="F68" s="182">
        <f t="shared" si="4"/>
        <v>1.666666655</v>
      </c>
      <c r="G68" s="209">
        <f t="shared" si="0"/>
        <v>10557.222148321667</v>
      </c>
      <c r="H68" s="20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5555.5555166666663</v>
      </c>
      <c r="E69" s="20">
        <f t="shared" si="3"/>
        <v>4999.999965</v>
      </c>
      <c r="F69" s="182">
        <f t="shared" si="4"/>
        <v>1.666666655</v>
      </c>
      <c r="G69" s="209">
        <f t="shared" si="0"/>
        <v>10557.222148321667</v>
      </c>
      <c r="H69" s="20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5555.5555166666663</v>
      </c>
      <c r="E70" s="20">
        <f t="shared" si="3"/>
        <v>4999.999965</v>
      </c>
      <c r="F70" s="182">
        <f t="shared" si="4"/>
        <v>1.666666655</v>
      </c>
      <c r="G70" s="209">
        <f t="shared" si="0"/>
        <v>10557.222148321667</v>
      </c>
      <c r="H70" s="20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5555.5555166666663</v>
      </c>
      <c r="E71" s="20">
        <f t="shared" si="3"/>
        <v>4999.999965</v>
      </c>
      <c r="F71" s="182">
        <f t="shared" si="4"/>
        <v>1.666666655</v>
      </c>
      <c r="G71" s="209">
        <f t="shared" si="0"/>
        <v>10557.222148321667</v>
      </c>
      <c r="H71" s="20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5555.5555166666663</v>
      </c>
      <c r="E72" s="20">
        <f t="shared" si="3"/>
        <v>4999.999965</v>
      </c>
      <c r="F72" s="182">
        <f t="shared" si="4"/>
        <v>1.666666655</v>
      </c>
      <c r="G72" s="209">
        <f t="shared" ref="G72:G99" si="5">IF(B$40&lt;=F$21,D72+E72+F72,0)</f>
        <v>10557.222148321667</v>
      </c>
      <c r="H72" s="20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5555.5555166666663</v>
      </c>
      <c r="E73" s="20">
        <f t="shared" si="3"/>
        <v>4999.999965</v>
      </c>
      <c r="F73" s="182">
        <f t="shared" si="4"/>
        <v>1.666666655</v>
      </c>
      <c r="G73" s="209">
        <f t="shared" si="5"/>
        <v>10557.222148321667</v>
      </c>
      <c r="H73" s="20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5555.5555166666663</v>
      </c>
      <c r="E74" s="20">
        <f t="shared" si="3"/>
        <v>4999.999965</v>
      </c>
      <c r="F74" s="182">
        <f t="shared" si="4"/>
        <v>1.666666655</v>
      </c>
      <c r="G74" s="209">
        <f t="shared" si="5"/>
        <v>10557.222148321667</v>
      </c>
      <c r="H74" s="20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5555.5555166666663</v>
      </c>
      <c r="E75" s="20">
        <f t="shared" si="3"/>
        <v>4999.999965</v>
      </c>
      <c r="F75" s="182">
        <f t="shared" si="4"/>
        <v>1.666666655</v>
      </c>
      <c r="G75" s="209">
        <f t="shared" si="5"/>
        <v>10557.222148321667</v>
      </c>
      <c r="H75" s="20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9">
        <f t="shared" si="5"/>
        <v>0</v>
      </c>
      <c r="H76" s="20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9">
        <f t="shared" si="5"/>
        <v>0</v>
      </c>
      <c r="H77" s="20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9">
        <f t="shared" si="5"/>
        <v>0</v>
      </c>
      <c r="H78" s="20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9">
        <f t="shared" si="5"/>
        <v>0</v>
      </c>
      <c r="H79" s="20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9">
        <f t="shared" si="5"/>
        <v>0</v>
      </c>
      <c r="H80" s="20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9">
        <f t="shared" si="5"/>
        <v>0</v>
      </c>
      <c r="H81" s="20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9">
        <f t="shared" si="5"/>
        <v>0</v>
      </c>
      <c r="H82" s="20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9">
        <f t="shared" si="5"/>
        <v>0</v>
      </c>
      <c r="H83" s="20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9">
        <f t="shared" si="5"/>
        <v>0</v>
      </c>
      <c r="H84" s="20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9">
        <f t="shared" si="5"/>
        <v>0</v>
      </c>
      <c r="H85" s="20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9">
        <f t="shared" si="5"/>
        <v>0</v>
      </c>
      <c r="H86" s="20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9">
        <f t="shared" si="5"/>
        <v>0</v>
      </c>
      <c r="H87" s="20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6">
        <f t="shared" si="5"/>
        <v>0</v>
      </c>
      <c r="H88" s="21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10">
        <f t="shared" si="5"/>
        <v>0</v>
      </c>
      <c r="H89" s="211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10">
        <f t="shared" si="5"/>
        <v>0</v>
      </c>
      <c r="H90" s="211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10">
        <f t="shared" si="5"/>
        <v>0</v>
      </c>
      <c r="H91" s="211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10">
        <f t="shared" si="5"/>
        <v>0</v>
      </c>
      <c r="H92" s="211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10">
        <f t="shared" si="5"/>
        <v>0</v>
      </c>
      <c r="H93" s="211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10">
        <f t="shared" si="5"/>
        <v>0</v>
      </c>
      <c r="H94" s="211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10">
        <f t="shared" si="5"/>
        <v>0</v>
      </c>
      <c r="H95" s="211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10">
        <f t="shared" si="5"/>
        <v>0</v>
      </c>
      <c r="H96" s="211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10">
        <f t="shared" si="5"/>
        <v>0</v>
      </c>
      <c r="H97" s="211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10">
        <f t="shared" si="5"/>
        <v>0</v>
      </c>
      <c r="H98" s="211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10">
        <f t="shared" si="5"/>
        <v>0</v>
      </c>
      <c r="H99" s="211"/>
      <c r="I99" s="104"/>
      <c r="J99" s="104"/>
    </row>
    <row r="100" spans="1:19" s="4" customFormat="1" ht="16.5" thickBot="1" x14ac:dyDescent="0.25">
      <c r="A100" s="43"/>
      <c r="B100" s="214" t="s">
        <v>1</v>
      </c>
      <c r="C100" s="215"/>
      <c r="D100" s="93">
        <f>SUM(D40:D99)</f>
        <v>199999.99860000002</v>
      </c>
      <c r="E100" s="93">
        <f>SUM(E40:E99)</f>
        <v>179999.99873999992</v>
      </c>
      <c r="F100" s="99">
        <f>SUM(F40:F99)</f>
        <v>59.999999580000001</v>
      </c>
      <c r="G100" s="212">
        <f>SUM(G40:H99)</f>
        <v>380059.99733958015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8" t="s">
        <v>6</v>
      </c>
      <c r="F102" s="208"/>
      <c r="G102" s="208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J5b7qcdP6RlzB9UWpqapgFjNz9sufQRyuXaHIlsaaV0H541rPlyInOp/5VRPxCaJ+j6YWepxDTpGZpfrPcfxLw==" saltValue="KysbOafTTwQk6xxuCAbtt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7" t="s">
        <v>16</v>
      </c>
      <c r="B1" s="258"/>
      <c r="C1" s="258"/>
      <c r="D1" s="25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2" t="s">
        <v>44</v>
      </c>
      <c r="B3" s="253">
        <v>0</v>
      </c>
      <c r="C3" s="253">
        <v>0</v>
      </c>
      <c r="D3" s="25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2" t="s">
        <v>45</v>
      </c>
      <c r="B5" s="253">
        <v>0</v>
      </c>
      <c r="C5" s="253">
        <v>0</v>
      </c>
      <c r="D5" s="25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2" t="s">
        <v>46</v>
      </c>
      <c r="B7" s="253">
        <v>0</v>
      </c>
      <c r="C7" s="253">
        <v>0</v>
      </c>
      <c r="D7" s="25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2" t="s">
        <v>158</v>
      </c>
      <c r="B9" s="253"/>
      <c r="C9" s="253"/>
      <c r="D9" s="25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2" t="s">
        <v>157</v>
      </c>
      <c r="B12" s="253">
        <v>0</v>
      </c>
      <c r="C12" s="253">
        <v>0</v>
      </c>
      <c r="D12" s="25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2" t="s">
        <v>47</v>
      </c>
      <c r="B14" s="253">
        <v>0</v>
      </c>
      <c r="C14" s="253">
        <v>0</v>
      </c>
      <c r="D14" s="25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2" t="s">
        <v>156</v>
      </c>
      <c r="B16" s="253">
        <v>0</v>
      </c>
      <c r="C16" s="253">
        <v>0</v>
      </c>
      <c r="D16" s="25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5" t="s">
        <v>8</v>
      </c>
      <c r="B19" s="25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2" t="s">
        <v>20</v>
      </c>
      <c r="B20" s="243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2" t="s">
        <v>9</v>
      </c>
      <c r="B21" s="243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2" t="s">
        <v>18</v>
      </c>
      <c r="B22" s="243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2" t="s">
        <v>19</v>
      </c>
      <c r="B23" s="243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5" t="s">
        <v>30</v>
      </c>
      <c r="B26" s="246"/>
      <c r="C26" s="246"/>
      <c r="D26" s="246"/>
      <c r="E26" s="246"/>
      <c r="F26" s="246"/>
      <c r="G26" s="247"/>
    </row>
    <row r="27" spans="1:8" ht="45.75" thickBot="1" x14ac:dyDescent="0.25">
      <c r="A27" s="248" t="s">
        <v>2</v>
      </c>
      <c r="B27" s="249"/>
      <c r="C27" s="83" t="s">
        <v>4</v>
      </c>
      <c r="D27" s="83" t="s">
        <v>17</v>
      </c>
      <c r="E27" s="83" t="s">
        <v>5</v>
      </c>
      <c r="F27" s="250" t="s">
        <v>3</v>
      </c>
      <c r="G27" s="251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4"/>
      <c r="E29" s="244"/>
      <c r="F29" s="244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B4" sqref="B4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8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8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8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163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4">
        <f t="shared" ref="H4" si="0">B4+B4*K4</f>
        <v>199999.99859999999</v>
      </c>
      <c r="I4" s="151">
        <v>0</v>
      </c>
      <c r="K4" s="185">
        <v>0.02</v>
      </c>
      <c r="L4" s="153">
        <f t="shared" ref="L4" si="1"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4">
        <f t="shared" ref="H5:H6" si="2">B5+B5*K5</f>
        <v>199999.99859999999</v>
      </c>
      <c r="I5" s="151">
        <v>0</v>
      </c>
      <c r="K5" s="185">
        <v>0.02</v>
      </c>
      <c r="L5" s="153">
        <f t="shared" ref="L5:L8" si="3"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160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4">
        <f t="shared" si="2"/>
        <v>199999.99859999999</v>
      </c>
      <c r="I6" s="151">
        <v>0</v>
      </c>
      <c r="J6" s="151"/>
      <c r="K6" s="185">
        <v>0.02</v>
      </c>
      <c r="L6" s="153">
        <f t="shared" si="3"/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162</v>
      </c>
      <c r="B7" s="121">
        <v>69767.44</v>
      </c>
      <c r="C7" s="151">
        <v>12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69767,44 грн.</v>
      </c>
      <c r="H7" s="184">
        <f>B7+B7*K7</f>
        <v>74999.998000000007</v>
      </c>
      <c r="I7" s="151">
        <v>6</v>
      </c>
      <c r="K7" s="185">
        <v>7.4999999999999997E-2</v>
      </c>
      <c r="L7" s="153">
        <f t="shared" si="3"/>
        <v>9992.8382803313798</v>
      </c>
      <c r="M7" s="154">
        <f>F7</f>
        <v>4.99E-2</v>
      </c>
      <c r="N7" s="154"/>
      <c r="O7" s="155">
        <v>0</v>
      </c>
      <c r="P7" s="151">
        <v>1000</v>
      </c>
    </row>
    <row r="8" spans="1:16" s="151" customFormat="1" x14ac:dyDescent="0.2">
      <c r="A8" s="151" t="s">
        <v>164</v>
      </c>
      <c r="B8" s="121">
        <v>67567.570000000007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67567,57 грн.</v>
      </c>
      <c r="H8" s="184">
        <f>B8+B8*K8</f>
        <v>75000.002700000012</v>
      </c>
      <c r="I8" s="151">
        <v>9</v>
      </c>
      <c r="K8" s="185">
        <v>0.11</v>
      </c>
      <c r="L8" s="153">
        <f t="shared" si="3"/>
        <v>6867.8257784570424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Ідея_ФОП Шерстюк К.B.</vt:lpstr>
      <vt:lpstr>Перелік партнерів</vt:lpstr>
      <vt:lpstr>Назви</vt:lpstr>
      <vt:lpstr>Лист2</vt:lpstr>
      <vt:lpstr>'NST Ідея_ФОП Шерстюк К.B.'!Область_друку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2025-07-17T06:46:36Z</dcterms:modified>
</cp:coreProperties>
</file>