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F7CA29EF-FE00-4EBC-8CC9-CEAB4C0B009A}" xr6:coauthVersionLast="47" xr6:coauthVersionMax="47" xr10:uidLastSave="{00000000-0000-0000-0000-000000000000}"/>
  <workbookProtection workbookAlgorithmName="SHA-512" workbookHashValue="kOe7KWNhqTaClvzmDetVeBnDweD6rKx36Ltm5gU1lBiditKOPbIYvVQOXRIlAxCG6/DcxBaf46VcBz1F3vj00Q==" workbookSaltValue="tz0hx6iIHw0pCkJirlk8hQ==" workbookSpinCount="100000" lockStructure="1"/>
  <bookViews>
    <workbookView xWindow="-120" yWindow="-120" windowWidth="29040" windowHeight="15990" tabRatio="863" xr2:uid="{00000000-000D-0000-FFFF-FFFF00000000}"/>
  </bookViews>
  <sheets>
    <sheet name="NST Ідея_ТзОВ РБ-Трейдинг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Ідея_ТзОВ РБ-Трейдинг'!$A$1:$I$103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8" i="164"/>
  <c r="L9" i="164"/>
  <c r="L10" i="164"/>
  <c r="L11" i="164"/>
  <c r="L12" i="164"/>
  <c r="M9" i="165"/>
  <c r="L9" i="165"/>
  <c r="H9" i="165"/>
  <c r="G9" i="165"/>
  <c r="M8" i="165"/>
  <c r="L8" i="165"/>
  <c r="H8" i="165"/>
  <c r="G8" i="165"/>
  <c r="M7" i="165"/>
  <c r="L7" i="165"/>
  <c r="H7" i="165"/>
  <c r="G7" i="165"/>
  <c r="H5" i="165"/>
  <c r="H6" i="165"/>
  <c r="H4" i="165"/>
  <c r="E2" i="164"/>
  <c r="G2" i="164"/>
  <c r="G3" i="164"/>
  <c r="F2" i="164" l="1"/>
  <c r="H3" i="164"/>
  <c r="G39" i="164"/>
  <c r="M6" i="165" l="1"/>
  <c r="L6" i="165"/>
  <c r="G6" i="165"/>
  <c r="M5" i="165"/>
  <c r="L5" i="165"/>
  <c r="G5" i="165"/>
  <c r="G4" i="165" l="1"/>
  <c r="L17" i="164" l="1"/>
  <c r="L13" i="164" l="1"/>
  <c r="L14" i="164"/>
  <c r="L15" i="164"/>
  <c r="L16" i="164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77" i="164" l="1"/>
  <c r="F81" i="164"/>
  <c r="F85" i="164"/>
  <c r="F89" i="164"/>
  <c r="F93" i="164"/>
  <c r="F97" i="164"/>
  <c r="F78" i="164"/>
  <c r="F82" i="164"/>
  <c r="F86" i="164"/>
  <c r="F90" i="164"/>
  <c r="F94" i="164"/>
  <c r="F98" i="164"/>
  <c r="F84" i="164"/>
  <c r="F79" i="164"/>
  <c r="F83" i="164"/>
  <c r="F87" i="164"/>
  <c r="F91" i="164"/>
  <c r="F95" i="164"/>
  <c r="F99" i="164"/>
  <c r="F76" i="164"/>
  <c r="F80" i="164"/>
  <c r="F88" i="164"/>
  <c r="F92" i="164"/>
  <c r="F96" i="164"/>
  <c r="F22" i="16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E78" i="164"/>
  <c r="E97" i="164"/>
  <c r="E94" i="164"/>
  <c r="E80" i="164"/>
  <c r="E85" i="164"/>
  <c r="F23" i="161"/>
  <c r="G21" i="161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89" i="164"/>
  <c r="E92" i="164"/>
  <c r="E84" i="164"/>
  <c r="E66" i="164" l="1"/>
  <c r="F72" i="164"/>
  <c r="F51" i="164"/>
  <c r="F68" i="164"/>
  <c r="F47" i="164"/>
  <c r="F66" i="164"/>
  <c r="F61" i="164"/>
  <c r="E64" i="164"/>
  <c r="E75" i="164"/>
  <c r="F46" i="164"/>
  <c r="F57" i="164"/>
  <c r="F56" i="164"/>
  <c r="F67" i="164"/>
  <c r="F62" i="164"/>
  <c r="F45" i="164"/>
  <c r="F52" i="164"/>
  <c r="F63" i="164"/>
  <c r="F50" i="164"/>
  <c r="F73" i="164"/>
  <c r="F41" i="164"/>
  <c r="F40" i="164"/>
  <c r="F64" i="164"/>
  <c r="F48" i="164"/>
  <c r="F75" i="164"/>
  <c r="F59" i="164"/>
  <c r="F43" i="164"/>
  <c r="F74" i="164"/>
  <c r="F58" i="164"/>
  <c r="F42" i="164"/>
  <c r="F69" i="164"/>
  <c r="F53" i="164"/>
  <c r="F60" i="164"/>
  <c r="F44" i="164"/>
  <c r="F71" i="164"/>
  <c r="F55" i="164"/>
  <c r="F70" i="164"/>
  <c r="F54" i="164"/>
  <c r="F65" i="164"/>
  <c r="F49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G71" i="164" l="1"/>
  <c r="G66" i="164"/>
  <c r="F100" i="164"/>
  <c r="G64" i="164"/>
  <c r="G59" i="164"/>
  <c r="G75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<sst xmlns="http://schemas.openxmlformats.org/spreadsheetml/2006/main" count="174" uniqueCount="166">
  <si>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</si>
  <si>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</si>
  <si>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</si>
  <si>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</si>
  <si>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</si>
  <si>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</si>
  <si>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</si>
  <si>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</si>
  <si>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</si>
  <si>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</si>
  <si>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</si>
  <si>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</si>
  <si>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</si>
  <si>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</si>
  <si>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</si>
  <si>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</si>
  <si>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</si>
  <si>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</si>
  <si>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</si>
  <si>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</si>
  <si>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</si>
  <si>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</si>
  <si>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</si>
  <si>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</si>
  <si>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</si>
  <si>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</si>
  <si>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</si>
  <si>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</si>
  <si>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</si>
  <si>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</si>
  <si>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</si>
  <si>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</si>
  <si>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</si>
  <si>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</si>
  <si>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</si>
  <si>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</si>
  <si>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</si>
  <si>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</si>
  <si>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</si>
  <si>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</si>
  <si>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</si>
  <si>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</si>
  <si>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</si>
  <si>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</si>
  <si>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</si>
  <si>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</si>
  <si>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</si>
  <si>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</si>
  <si>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</si>
  <si>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</si>
  <si>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</si>
  <si>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</si>
  <si>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</si>
  <si>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</si>
  <si>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</si>
  <si>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</si>
  <si>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</si>
  <si>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</si>
  <si>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</si>
  <si>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</si>
  <si>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</si>
  <si>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</si>
  <si>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</si>
  <si>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</si>
  <si>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</si>
  <si>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</si>
  <si>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</si>
  <si>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</si>
  <si>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</si>
  <si>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</si>
  <si>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</si>
  <si>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</si>
  <si>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</si>
  <si>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</si>
  <si>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</si>
  <si>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</si>
  <si>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</si>
  <si>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</si>
  <si>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</si>
  <si>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</si>
  <si>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</si>
  <si>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</si>
  <si>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</si>
  <si>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</si>
  <si>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</si>
  <si>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</si>
  <si>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</si>
  <si>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</si>
  <si>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</si>
  <si>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</si>
  <si>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</si>
  <si>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</si>
  <si>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</si>
  <si>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</si>
  <si>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</si>
  <si>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</si>
  <si>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</si>
  <si>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</si>
  <si>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</si>
  <si>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</si>
  <si>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</si>
  <si>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</si>
  <si>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</si>
  <si>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</si>
  <si>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</si>
  <si>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</si>
  <si>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</si>
  <si>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</si>
  <si>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</si>
  <si>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</si>
  <si>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</si>
  <si>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</si>
  <si>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</si>
  <si>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</si>
  <si>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</si>
  <si>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</si>
  <si>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</si>
  <si>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</si>
  <si>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</si>
  <si>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</si>
  <si>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</si>
  <si>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</si>
  <si>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</si>
  <si>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</si>
  <si>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</si>
  <si>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</si>
  <si>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</si>
  <si>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</si>
  <si>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</si>
  <si>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</si>
  <si>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</si>
  <si>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</si>
  <si>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</si>
  <si>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</si>
  <si>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</si>
  <si>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</si>
  <si>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</si>
  <si>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</si>
  <si>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</si>
  <si>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</si>
  <si>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</si>
  <si>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</si>
  <si>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</si>
  <si>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</si>
  <si>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</si>
  <si>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</si>
  <si>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</si>
  <si>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</si>
  <si>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</si>
  <si>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</si>
  <si>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</si>
  <si>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</si>
  <si>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</si>
  <si>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</si>
  <si>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</si>
  <si>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</si>
  <si>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</si>
  <si>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</si>
  <si>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</si>
  <si>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</si>
  <si>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NST_ВМ_Ідея_0-5-12</t>
  </si>
  <si>
    <t>NST_ВМ_Ідея_0-9-24</t>
  </si>
  <si>
    <t>NST_ВМ_Ідея_12</t>
  </si>
  <si>
    <t>NST_ВМ_Ідея_24</t>
  </si>
  <si>
    <t>NST_ВМ_Ідея_36</t>
  </si>
  <si>
    <t>NST_ВМ_Ідея_0-12-36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</si>
</sst>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60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10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3</xdr:col>
      <xdr:colOff>685801</xdr:colOff>
      <xdr:row>3</xdr:row>
      <xdr:rowOff>114299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01" y="0"/>
          <a:ext cx="1962150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7" t="s">
        <v>48</v>
      </c>
      <c r="I1" s="187"/>
    </row>
    <row r="2" spans="1:45" ht="12.75" customHeight="1" x14ac:dyDescent="0.2">
      <c r="A2" s="2"/>
      <c r="B2" s="88"/>
      <c r="C2" s="88"/>
      <c r="D2" s="88"/>
      <c r="E2" s="109">
        <f>VLOOKUP('NST Ідея_ТзОВ РБ-Трейдинг'!H2,Лист2!A:P,16,FALSE)</f>
        <v>1000</v>
      </c>
      <c r="F2" s="132">
        <f>VLOOKUP(H$2,Лист2!$A:$H,8,0)</f>
        <v>75000.004299999986</v>
      </c>
      <c r="G2" s="177">
        <f ca="1">TODAY()</f>
        <v>45855</v>
      </c>
      <c r="H2" s="194" t="s">
        <v>165</v>
      </c>
      <c r="I2" s="195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50500</v>
      </c>
      <c r="F3" s="196" t="str">
        <f>IF(E3="x","Збільшіть суму",IF(E3="y","Зменшіть суму",""))</f>
        <v/>
      </c>
      <c r="G3" s="133">
        <f>Назви!B32</f>
        <v>30.4</v>
      </c>
      <c r="H3" s="198">
        <f>VLOOKUP(H$2,Лист2!$A:$H,8,0)</f>
        <v>75000.004299999986</v>
      </c>
      <c r="I3" s="199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7"/>
      <c r="G4" s="112"/>
      <c r="H4" s="162"/>
      <c r="I4" s="120"/>
      <c r="J4" s="35"/>
      <c r="AA4" s="51"/>
    </row>
    <row r="5" spans="1:45" ht="21" thickBot="1" x14ac:dyDescent="0.25">
      <c r="A5" s="1"/>
      <c r="B5" s="200" t="s">
        <v>42</v>
      </c>
      <c r="C5" s="201"/>
      <c r="D5" s="201"/>
      <c r="E5" s="202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9"/>
      <c r="B6" s="189"/>
      <c r="C6" s="189"/>
      <c r="D6" s="189"/>
      <c r="E6" s="189"/>
      <c r="F6" s="189"/>
      <c r="G6" s="189"/>
      <c r="H6" s="189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1" t="s">
        <v>43</v>
      </c>
      <c r="C7" s="192"/>
      <c r="D7" s="192"/>
      <c r="E7" s="193"/>
      <c r="F7" s="163">
        <f>F5+F5*F11+F15+F5*F17</f>
        <v>50500</v>
      </c>
      <c r="G7" s="164"/>
      <c r="H7" s="165"/>
      <c r="I7" s="42"/>
      <c r="J7" s="4"/>
      <c r="K7" s="37"/>
      <c r="L7" s="51" t="str">
        <f>Лист2!A4</f>
        <v>NST_ВМ_Ідея_0-5-12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8"/>
      <c r="B8" s="188"/>
      <c r="C8" s="188"/>
      <c r="D8" s="188"/>
      <c r="E8" s="188"/>
      <c r="F8" s="189"/>
      <c r="G8" s="188"/>
      <c r="H8" s="188"/>
      <c r="I8" s="188"/>
      <c r="J8" s="4"/>
      <c r="K8" s="37"/>
      <c r="L8" s="51" t="str">
        <f>Лист2!A5</f>
        <v>NST_ВМ_Ідея_0-9-24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3" t="str">
        <f>Назви!A3</f>
        <v>Процентна ставка, % річних</v>
      </c>
      <c r="C9" s="204">
        <f>Назви!B3</f>
        <v>0</v>
      </c>
      <c r="D9" s="204">
        <f>Назви!C3</f>
        <v>0</v>
      </c>
      <c r="E9" s="204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NST_ВМ_Ідея_0-12-36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NST_ВМ_Ідея_12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5" t="str">
        <f>Назви!A5</f>
        <v>Разовий страховий тариф, %</v>
      </c>
      <c r="C11" s="206">
        <f>Назви!B5</f>
        <v>0</v>
      </c>
      <c r="D11" s="206">
        <f>Назви!C5</f>
        <v>0</v>
      </c>
      <c r="E11" s="20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str">
        <f>Лист2!A8</f>
        <v>NST_ВМ_Ідея_24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51"/>
      <c r="K12" s="37"/>
      <c r="L12" s="51" t="str">
        <f>Лист2!A9</f>
        <v>NST_ВМ_Ідея_36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7" t="s">
        <v>41</v>
      </c>
      <c r="C13" s="207"/>
      <c r="D13" s="207"/>
      <c r="E13" s="205"/>
      <c r="F13" s="140">
        <f>VLOOKUP(H$2,Лист2!$A:$J,9,0)</f>
        <v>12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90"/>
      <c r="B14" s="190"/>
      <c r="C14" s="190"/>
      <c r="D14" s="190"/>
      <c r="E14" s="190"/>
      <c r="F14" s="190"/>
      <c r="G14" s="190"/>
      <c r="H14" s="190"/>
      <c r="I14" s="190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7" t="s">
        <v>39</v>
      </c>
      <c r="C15" s="207"/>
      <c r="D15" s="207"/>
      <c r="E15" s="205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9"/>
      <c r="B16" s="189"/>
      <c r="C16" s="189"/>
      <c r="D16" s="189"/>
      <c r="E16" s="189"/>
      <c r="F16" s="189"/>
      <c r="G16" s="189"/>
      <c r="H16" s="189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7" t="s">
        <v>40</v>
      </c>
      <c r="C17" s="207"/>
      <c r="D17" s="207"/>
      <c r="E17" s="207"/>
      <c r="F17" s="134">
        <f>VLOOKUP(H$2,Лист2!$A:$K,11,0)</f>
        <v>0.01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9"/>
      <c r="B18" s="189"/>
      <c r="C18" s="189"/>
      <c r="D18" s="189"/>
      <c r="E18" s="189"/>
      <c r="F18" s="189"/>
      <c r="G18" s="189"/>
      <c r="H18" s="189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5" t="str">
        <f>Назви!A7</f>
        <v xml:space="preserve">Щомісячна плата за обслуговування кредитної заборгованості, % </v>
      </c>
      <c r="C19" s="206">
        <f>Назви!B7</f>
        <v>0</v>
      </c>
      <c r="D19" s="206">
        <f>Назви!C7</f>
        <v>0</v>
      </c>
      <c r="E19" s="230">
        <f>Назви!D7</f>
        <v>0</v>
      </c>
      <c r="F19" s="134">
        <f>VLOOKUP(H$2,Лист2!$A:$G,6,0)</f>
        <v>4.99E-2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5" t="str">
        <f>Назви!A9</f>
        <v>Термін кредитування (міс.)</v>
      </c>
      <c r="C21" s="206">
        <f>Назви!B9</f>
        <v>0</v>
      </c>
      <c r="D21" s="206">
        <f>Назви!C9</f>
        <v>0</v>
      </c>
      <c r="E21" s="230">
        <f>Назви!D9</f>
        <v>0</v>
      </c>
      <c r="F21" s="141">
        <f>VLOOKUP(H$2,Лист2!$A:$G,3,0)</f>
        <v>36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50500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5" t="str">
        <f>Назви!A14</f>
        <v>Орієнтовні загальні витрати за кредитом, грн.</v>
      </c>
      <c r="C24" s="226"/>
      <c r="D24" s="226"/>
      <c r="E24" s="226"/>
      <c r="F24" s="160">
        <f>G100-F5</f>
        <v>60993.950000000026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5" t="str">
        <f>Назви!A16</f>
        <v>Орієнтовна загальна вартість кредиту, грн.</v>
      </c>
      <c r="C26" s="226">
        <f>Назви!B14</f>
        <v>0</v>
      </c>
      <c r="D26" s="226">
        <f>Назви!C14</f>
        <v>0</v>
      </c>
      <c r="E26" s="227">
        <f>Назви!D14</f>
        <v>0</v>
      </c>
      <c r="F26" s="144">
        <f>F5+F24</f>
        <v>110993.95000000003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5" t="str">
        <f>Назви!A18</f>
        <v>Реальна річна процентна ставка, %</v>
      </c>
      <c r="C28" s="226">
        <f>Назви!B16</f>
        <v>0</v>
      </c>
      <c r="D28" s="226">
        <f>Назви!C16</f>
        <v>0</v>
      </c>
      <c r="E28" s="227">
        <f>Назви!D16</f>
        <v>0</v>
      </c>
      <c r="F28" s="147">
        <f ca="1">XIRR(G39:G87,C39:C87)</f>
        <v>0.61096606850624091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8" t="str">
        <f>Назви!A19</f>
        <v>Інший термін</v>
      </c>
      <c r="C30" s="229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8" t="s">
        <v>32</v>
      </c>
      <c r="C31" s="219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8" t="s">
        <v>33</v>
      </c>
      <c r="C32" s="219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8" t="s">
        <v>9</v>
      </c>
      <c r="C33" s="219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8"/>
      <c r="C34" s="219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20" t="str">
        <f>Назви!A26</f>
        <v xml:space="preserve">ГРАФІК СПЛАТИ КРЕДИТУ </v>
      </c>
      <c r="C37" s="221"/>
      <c r="D37" s="221"/>
      <c r="E37" s="221"/>
      <c r="F37" s="221"/>
      <c r="G37" s="221"/>
      <c r="H37" s="222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3" t="str">
        <f>Назви!A27</f>
        <v>Місяць</v>
      </c>
      <c r="C38" s="224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3" t="str">
        <f>Назви!F27</f>
        <v>Загальна сума внесків до повернення в місяць, грн.</v>
      </c>
      <c r="H38" s="224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1402.7777777777778</v>
      </c>
      <c r="E40" s="20">
        <f>IF(AND(B40&gt;F$13,B40&lt;=$F$21),F$7*F$19,0)</f>
        <v>0</v>
      </c>
      <c r="F40" s="182">
        <f>IF(B40&lt;=$F$21,F$7*F$9/12,0)</f>
        <v>0.42083333333333334</v>
      </c>
      <c r="G40" s="209">
        <f t="shared" ref="G40:G71" si="0">IF(B$40&lt;=F$21,D40+E40+F40,0)</f>
        <v>1403.1986111111112</v>
      </c>
      <c r="H40" s="209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1402.7777777777778</v>
      </c>
      <c r="E41" s="20">
        <f t="shared" ref="E41:E99" si="3">IF(AND(B41&gt;F$13,B41&lt;=$F$21),F$7*F$19,0)</f>
        <v>0</v>
      </c>
      <c r="F41" s="182">
        <f t="shared" ref="F41:F99" si="4">IF(B41&lt;=$F$21,F$7*F$9/12,0)</f>
        <v>0.42083333333333334</v>
      </c>
      <c r="G41" s="209">
        <f t="shared" si="0"/>
        <v>1403.1986111111112</v>
      </c>
      <c r="H41" s="209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1402.7777777777778</v>
      </c>
      <c r="E42" s="20">
        <f t="shared" si="3"/>
        <v>0</v>
      </c>
      <c r="F42" s="182">
        <f t="shared" si="4"/>
        <v>0.42083333333333334</v>
      </c>
      <c r="G42" s="209">
        <f t="shared" si="0"/>
        <v>1403.1986111111112</v>
      </c>
      <c r="H42" s="209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1402.7777777777778</v>
      </c>
      <c r="E43" s="20">
        <f t="shared" si="3"/>
        <v>0</v>
      </c>
      <c r="F43" s="182">
        <f t="shared" si="4"/>
        <v>0.42083333333333334</v>
      </c>
      <c r="G43" s="209">
        <f t="shared" si="0"/>
        <v>1403.1986111111112</v>
      </c>
      <c r="H43" s="209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1402.7777777777778</v>
      </c>
      <c r="E44" s="20">
        <f t="shared" si="3"/>
        <v>0</v>
      </c>
      <c r="F44" s="182">
        <f t="shared" si="4"/>
        <v>0.42083333333333334</v>
      </c>
      <c r="G44" s="209">
        <f t="shared" si="0"/>
        <v>1403.1986111111112</v>
      </c>
      <c r="H44" s="209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1402.7777777777778</v>
      </c>
      <c r="E45" s="20">
        <f t="shared" si="3"/>
        <v>0</v>
      </c>
      <c r="F45" s="182">
        <f t="shared" si="4"/>
        <v>0.42083333333333334</v>
      </c>
      <c r="G45" s="209">
        <f t="shared" si="0"/>
        <v>1403.1986111111112</v>
      </c>
      <c r="H45" s="209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1402.7777777777778</v>
      </c>
      <c r="E46" s="20">
        <f t="shared" si="3"/>
        <v>0</v>
      </c>
      <c r="F46" s="182">
        <f t="shared" si="4"/>
        <v>0.42083333333333334</v>
      </c>
      <c r="G46" s="209">
        <f t="shared" si="0"/>
        <v>1403.1986111111112</v>
      </c>
      <c r="H46" s="209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1402.7777777777778</v>
      </c>
      <c r="E47" s="20">
        <f t="shared" si="3"/>
        <v>0</v>
      </c>
      <c r="F47" s="182">
        <f t="shared" si="4"/>
        <v>0.42083333333333334</v>
      </c>
      <c r="G47" s="209">
        <f t="shared" si="0"/>
        <v>1403.1986111111112</v>
      </c>
      <c r="H47" s="209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1402.7777777777778</v>
      </c>
      <c r="E48" s="20">
        <f t="shared" si="3"/>
        <v>0</v>
      </c>
      <c r="F48" s="182">
        <f t="shared" si="4"/>
        <v>0.42083333333333334</v>
      </c>
      <c r="G48" s="209">
        <f t="shared" si="0"/>
        <v>1403.1986111111112</v>
      </c>
      <c r="H48" s="209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1402.7777777777778</v>
      </c>
      <c r="E49" s="20">
        <f t="shared" si="3"/>
        <v>0</v>
      </c>
      <c r="F49" s="182">
        <f t="shared" si="4"/>
        <v>0.42083333333333334</v>
      </c>
      <c r="G49" s="209">
        <f t="shared" si="0"/>
        <v>1403.1986111111112</v>
      </c>
      <c r="H49" s="209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1402.7777777777778</v>
      </c>
      <c r="E50" s="20">
        <f t="shared" si="3"/>
        <v>0</v>
      </c>
      <c r="F50" s="182">
        <f t="shared" si="4"/>
        <v>0.42083333333333334</v>
      </c>
      <c r="G50" s="209">
        <f t="shared" si="0"/>
        <v>1403.1986111111112</v>
      </c>
      <c r="H50" s="209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1402.7777777777778</v>
      </c>
      <c r="E51" s="20">
        <f t="shared" si="3"/>
        <v>0</v>
      </c>
      <c r="F51" s="182">
        <f t="shared" si="4"/>
        <v>0.42083333333333334</v>
      </c>
      <c r="G51" s="209">
        <f t="shared" si="0"/>
        <v>1403.1986111111112</v>
      </c>
      <c r="H51" s="209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1402.7777777777778</v>
      </c>
      <c r="E52" s="20">
        <f t="shared" si="3"/>
        <v>2519.9499999999998</v>
      </c>
      <c r="F52" s="182">
        <f t="shared" si="4"/>
        <v>0.42083333333333334</v>
      </c>
      <c r="G52" s="209">
        <f t="shared" si="0"/>
        <v>3923.1486111111108</v>
      </c>
      <c r="H52" s="209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1402.7777777777778</v>
      </c>
      <c r="E53" s="20">
        <f t="shared" si="3"/>
        <v>2519.9499999999998</v>
      </c>
      <c r="F53" s="182">
        <f t="shared" si="4"/>
        <v>0.42083333333333334</v>
      </c>
      <c r="G53" s="209">
        <f t="shared" si="0"/>
        <v>3923.1486111111108</v>
      </c>
      <c r="H53" s="209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1402.7777777777778</v>
      </c>
      <c r="E54" s="20">
        <f t="shared" si="3"/>
        <v>2519.9499999999998</v>
      </c>
      <c r="F54" s="182">
        <f t="shared" si="4"/>
        <v>0.42083333333333334</v>
      </c>
      <c r="G54" s="209">
        <f t="shared" si="0"/>
        <v>3923.1486111111108</v>
      </c>
      <c r="H54" s="209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1402.7777777777778</v>
      </c>
      <c r="E55" s="20">
        <f t="shared" si="3"/>
        <v>2519.9499999999998</v>
      </c>
      <c r="F55" s="182">
        <f t="shared" si="4"/>
        <v>0.42083333333333334</v>
      </c>
      <c r="G55" s="209">
        <f t="shared" si="0"/>
        <v>3923.1486111111108</v>
      </c>
      <c r="H55" s="209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1402.7777777777778</v>
      </c>
      <c r="E56" s="20">
        <f t="shared" si="3"/>
        <v>2519.9499999999998</v>
      </c>
      <c r="F56" s="182">
        <f t="shared" si="4"/>
        <v>0.42083333333333334</v>
      </c>
      <c r="G56" s="209">
        <f t="shared" si="0"/>
        <v>3923.1486111111108</v>
      </c>
      <c r="H56" s="209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1402.7777777777778</v>
      </c>
      <c r="E57" s="20">
        <f t="shared" si="3"/>
        <v>2519.9499999999998</v>
      </c>
      <c r="F57" s="182">
        <f t="shared" si="4"/>
        <v>0.42083333333333334</v>
      </c>
      <c r="G57" s="209">
        <f t="shared" si="0"/>
        <v>3923.1486111111108</v>
      </c>
      <c r="H57" s="209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1402.7777777777778</v>
      </c>
      <c r="E58" s="20">
        <f t="shared" si="3"/>
        <v>2519.9499999999998</v>
      </c>
      <c r="F58" s="182">
        <f t="shared" si="4"/>
        <v>0.42083333333333334</v>
      </c>
      <c r="G58" s="209">
        <f t="shared" si="0"/>
        <v>3923.1486111111108</v>
      </c>
      <c r="H58" s="209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1402.7777777777778</v>
      </c>
      <c r="E59" s="20">
        <f t="shared" si="3"/>
        <v>2519.9499999999998</v>
      </c>
      <c r="F59" s="182">
        <f t="shared" si="4"/>
        <v>0.42083333333333334</v>
      </c>
      <c r="G59" s="209">
        <f t="shared" si="0"/>
        <v>3923.1486111111108</v>
      </c>
      <c r="H59" s="209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1402.7777777777778</v>
      </c>
      <c r="E60" s="20">
        <f t="shared" si="3"/>
        <v>2519.9499999999998</v>
      </c>
      <c r="F60" s="182">
        <f t="shared" si="4"/>
        <v>0.42083333333333334</v>
      </c>
      <c r="G60" s="209">
        <f t="shared" si="0"/>
        <v>3923.1486111111108</v>
      </c>
      <c r="H60" s="209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1402.7777777777778</v>
      </c>
      <c r="E61" s="20">
        <f t="shared" si="3"/>
        <v>2519.9499999999998</v>
      </c>
      <c r="F61" s="182">
        <f t="shared" si="4"/>
        <v>0.42083333333333334</v>
      </c>
      <c r="G61" s="209">
        <f t="shared" si="0"/>
        <v>3923.1486111111108</v>
      </c>
      <c r="H61" s="209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1402.7777777777778</v>
      </c>
      <c r="E62" s="20">
        <f t="shared" si="3"/>
        <v>2519.9499999999998</v>
      </c>
      <c r="F62" s="182">
        <f t="shared" si="4"/>
        <v>0.42083333333333334</v>
      </c>
      <c r="G62" s="209">
        <f t="shared" si="0"/>
        <v>3923.1486111111108</v>
      </c>
      <c r="H62" s="209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1402.7777777777778</v>
      </c>
      <c r="E63" s="20">
        <f t="shared" si="3"/>
        <v>2519.9499999999998</v>
      </c>
      <c r="F63" s="182">
        <f t="shared" si="4"/>
        <v>0.42083333333333334</v>
      </c>
      <c r="G63" s="209">
        <f t="shared" si="0"/>
        <v>3923.1486111111108</v>
      </c>
      <c r="H63" s="209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1402.7777777777778</v>
      </c>
      <c r="E64" s="20">
        <f t="shared" si="3"/>
        <v>2519.9499999999998</v>
      </c>
      <c r="F64" s="182">
        <f t="shared" si="4"/>
        <v>0.42083333333333334</v>
      </c>
      <c r="G64" s="209">
        <f t="shared" si="0"/>
        <v>3923.1486111111108</v>
      </c>
      <c r="H64" s="209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1402.7777777777778</v>
      </c>
      <c r="E65" s="20">
        <f t="shared" si="3"/>
        <v>2519.9499999999998</v>
      </c>
      <c r="F65" s="182">
        <f t="shared" si="4"/>
        <v>0.42083333333333334</v>
      </c>
      <c r="G65" s="209">
        <f t="shared" si="0"/>
        <v>3923.1486111111108</v>
      </c>
      <c r="H65" s="209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1402.7777777777778</v>
      </c>
      <c r="E66" s="20">
        <f t="shared" si="3"/>
        <v>2519.9499999999998</v>
      </c>
      <c r="F66" s="182">
        <f t="shared" si="4"/>
        <v>0.42083333333333334</v>
      </c>
      <c r="G66" s="209">
        <f t="shared" si="0"/>
        <v>3923.1486111111108</v>
      </c>
      <c r="H66" s="209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1402.7777777777778</v>
      </c>
      <c r="E67" s="20">
        <f t="shared" si="3"/>
        <v>2519.9499999999998</v>
      </c>
      <c r="F67" s="182">
        <f t="shared" si="4"/>
        <v>0.42083333333333334</v>
      </c>
      <c r="G67" s="209">
        <f t="shared" si="0"/>
        <v>3923.1486111111108</v>
      </c>
      <c r="H67" s="209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1402.7777777777778</v>
      </c>
      <c r="E68" s="20">
        <f t="shared" si="3"/>
        <v>2519.9499999999998</v>
      </c>
      <c r="F68" s="182">
        <f t="shared" si="4"/>
        <v>0.42083333333333334</v>
      </c>
      <c r="G68" s="209">
        <f t="shared" si="0"/>
        <v>3923.1486111111108</v>
      </c>
      <c r="H68" s="209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1402.7777777777778</v>
      </c>
      <c r="E69" s="20">
        <f t="shared" si="3"/>
        <v>2519.9499999999998</v>
      </c>
      <c r="F69" s="182">
        <f t="shared" si="4"/>
        <v>0.42083333333333334</v>
      </c>
      <c r="G69" s="209">
        <f t="shared" si="0"/>
        <v>3923.1486111111108</v>
      </c>
      <c r="H69" s="209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1402.7777777777778</v>
      </c>
      <c r="E70" s="20">
        <f t="shared" si="3"/>
        <v>2519.9499999999998</v>
      </c>
      <c r="F70" s="182">
        <f t="shared" si="4"/>
        <v>0.42083333333333334</v>
      </c>
      <c r="G70" s="209">
        <f t="shared" si="0"/>
        <v>3923.1486111111108</v>
      </c>
      <c r="H70" s="209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1402.7777777777778</v>
      </c>
      <c r="E71" s="20">
        <f t="shared" si="3"/>
        <v>2519.9499999999998</v>
      </c>
      <c r="F71" s="182">
        <f t="shared" si="4"/>
        <v>0.42083333333333334</v>
      </c>
      <c r="G71" s="209">
        <f t="shared" si="0"/>
        <v>3923.1486111111108</v>
      </c>
      <c r="H71" s="209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1402.7777777777778</v>
      </c>
      <c r="E72" s="20">
        <f t="shared" si="3"/>
        <v>2519.9499999999998</v>
      </c>
      <c r="F72" s="182">
        <f t="shared" si="4"/>
        <v>0.42083333333333334</v>
      </c>
      <c r="G72" s="209">
        <f t="shared" ref="G72:G99" si="5">IF(B$40&lt;=F$21,D72+E72+F72,0)</f>
        <v>3923.1486111111108</v>
      </c>
      <c r="H72" s="209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1402.7777777777778</v>
      </c>
      <c r="E73" s="20">
        <f t="shared" si="3"/>
        <v>2519.9499999999998</v>
      </c>
      <c r="F73" s="182">
        <f t="shared" si="4"/>
        <v>0.42083333333333334</v>
      </c>
      <c r="G73" s="209">
        <f t="shared" si="5"/>
        <v>3923.1486111111108</v>
      </c>
      <c r="H73" s="209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1402.7777777777778</v>
      </c>
      <c r="E74" s="20">
        <f t="shared" si="3"/>
        <v>2519.9499999999998</v>
      </c>
      <c r="F74" s="182">
        <f t="shared" si="4"/>
        <v>0.42083333333333334</v>
      </c>
      <c r="G74" s="209">
        <f t="shared" si="5"/>
        <v>3923.1486111111108</v>
      </c>
      <c r="H74" s="209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1402.7777777777778</v>
      </c>
      <c r="E75" s="20">
        <f t="shared" si="3"/>
        <v>2519.9499999999998</v>
      </c>
      <c r="F75" s="182">
        <f t="shared" si="4"/>
        <v>0.42083333333333334</v>
      </c>
      <c r="G75" s="209">
        <f t="shared" si="5"/>
        <v>3923.1486111111108</v>
      </c>
      <c r="H75" s="209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209">
        <f t="shared" si="5"/>
        <v>0</v>
      </c>
      <c r="H76" s="209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209">
        <f t="shared" si="5"/>
        <v>0</v>
      </c>
      <c r="H77" s="209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209">
        <f t="shared" si="5"/>
        <v>0</v>
      </c>
      <c r="H78" s="209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209">
        <f t="shared" si="5"/>
        <v>0</v>
      </c>
      <c r="H79" s="209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209">
        <f t="shared" si="5"/>
        <v>0</v>
      </c>
      <c r="H80" s="209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209">
        <f t="shared" si="5"/>
        <v>0</v>
      </c>
      <c r="H81" s="209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209">
        <f t="shared" si="5"/>
        <v>0</v>
      </c>
      <c r="H82" s="209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209">
        <f t="shared" si="5"/>
        <v>0</v>
      </c>
      <c r="H83" s="209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209">
        <f t="shared" si="5"/>
        <v>0</v>
      </c>
      <c r="H84" s="209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209">
        <f t="shared" si="5"/>
        <v>0</v>
      </c>
      <c r="H85" s="209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209">
        <f t="shared" si="5"/>
        <v>0</v>
      </c>
      <c r="H86" s="209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209">
        <f t="shared" si="5"/>
        <v>0</v>
      </c>
      <c r="H87" s="209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16">
        <f t="shared" si="5"/>
        <v>0</v>
      </c>
      <c r="H88" s="21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10">
        <f t="shared" si="5"/>
        <v>0</v>
      </c>
      <c r="H89" s="211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10">
        <f t="shared" si="5"/>
        <v>0</v>
      </c>
      <c r="H90" s="211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10">
        <f t="shared" si="5"/>
        <v>0</v>
      </c>
      <c r="H91" s="211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10">
        <f t="shared" si="5"/>
        <v>0</v>
      </c>
      <c r="H92" s="211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10">
        <f t="shared" si="5"/>
        <v>0</v>
      </c>
      <c r="H93" s="211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10">
        <f t="shared" si="5"/>
        <v>0</v>
      </c>
      <c r="H94" s="211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10">
        <f t="shared" si="5"/>
        <v>0</v>
      </c>
      <c r="H95" s="211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10">
        <f t="shared" si="5"/>
        <v>0</v>
      </c>
      <c r="H96" s="211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10">
        <f t="shared" si="5"/>
        <v>0</v>
      </c>
      <c r="H97" s="211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10">
        <f t="shared" si="5"/>
        <v>0</v>
      </c>
      <c r="H98" s="211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10">
        <f t="shared" si="5"/>
        <v>0</v>
      </c>
      <c r="H99" s="211"/>
      <c r="I99" s="104"/>
      <c r="J99" s="104"/>
    </row>
    <row r="100" spans="1:19" s="4" customFormat="1" ht="16.5" thickBot="1" x14ac:dyDescent="0.25">
      <c r="A100" s="43"/>
      <c r="B100" s="214" t="s">
        <v>1</v>
      </c>
      <c r="C100" s="215"/>
      <c r="D100" s="93">
        <f>SUM(D40:D99)</f>
        <v>50500.000000000036</v>
      </c>
      <c r="E100" s="93">
        <f>SUM(E40:E99)</f>
        <v>60478.799999999974</v>
      </c>
      <c r="F100" s="99">
        <f>SUM(F40:F99)</f>
        <v>15.149999999999986</v>
      </c>
      <c r="G100" s="212">
        <f>SUM(G40:H99)</f>
        <v>110993.95000000003</v>
      </c>
      <c r="H100" s="213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8" t="s">
        <v>6</v>
      </c>
      <c r="F102" s="208"/>
      <c r="G102" s="208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JmoGH5914A73nzMGEyjUpgxHhOmm75jamOssuH1OqL3aMgMzL2fC+bLB1Hzn4vawMQeTotox1eKWH82zxByJfQ==" saltValue="VHp9EC1tO4R9W5qylMQ9LA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$L$7:$L$12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1" t="s">
        <v>60</v>
      </c>
      <c r="E2" s="241"/>
      <c r="F2" s="241"/>
      <c r="G2" s="241"/>
      <c r="H2" s="241"/>
      <c r="I2" s="241"/>
      <c r="J2" s="241"/>
      <c r="K2" s="241"/>
    </row>
    <row r="5" spans="2:11" ht="13.15" customHeight="1" x14ac:dyDescent="0.2">
      <c r="B5" s="231" t="s">
        <v>151</v>
      </c>
      <c r="C5" s="231"/>
      <c r="D5" s="179" t="s">
        <v>154</v>
      </c>
      <c r="E5" s="179" t="s">
        <v>49</v>
      </c>
    </row>
    <row r="6" spans="2:11" ht="13.15" customHeight="1" x14ac:dyDescent="0.2">
      <c r="B6" s="232" t="s">
        <v>155</v>
      </c>
      <c r="C6" s="233"/>
      <c r="D6" s="178" t="s">
        <v>61</v>
      </c>
      <c r="E6" s="178" t="s">
        <v>62</v>
      </c>
    </row>
    <row r="7" spans="2:11" x14ac:dyDescent="0.2">
      <c r="B7" s="234"/>
      <c r="C7" s="235"/>
      <c r="D7" s="178" t="s">
        <v>63</v>
      </c>
      <c r="E7" s="178" t="s">
        <v>64</v>
      </c>
    </row>
    <row r="8" spans="2:11" x14ac:dyDescent="0.2">
      <c r="B8" s="234"/>
      <c r="C8" s="235"/>
      <c r="D8" s="178" t="s">
        <v>65</v>
      </c>
      <c r="E8" s="178" t="s">
        <v>66</v>
      </c>
    </row>
    <row r="9" spans="2:11" x14ac:dyDescent="0.2">
      <c r="B9" s="234"/>
      <c r="C9" s="235"/>
      <c r="D9" s="178" t="s">
        <v>67</v>
      </c>
      <c r="E9" s="178" t="s">
        <v>68</v>
      </c>
    </row>
    <row r="10" spans="2:11" x14ac:dyDescent="0.2">
      <c r="B10" s="234"/>
      <c r="C10" s="235"/>
      <c r="D10" s="178" t="s">
        <v>69</v>
      </c>
      <c r="E10" s="178" t="s">
        <v>57</v>
      </c>
    </row>
    <row r="11" spans="2:11" x14ac:dyDescent="0.2">
      <c r="B11" s="234"/>
      <c r="C11" s="235"/>
      <c r="D11" s="178" t="s">
        <v>70</v>
      </c>
      <c r="E11" s="178" t="s">
        <v>71</v>
      </c>
    </row>
    <row r="12" spans="2:11" x14ac:dyDescent="0.2">
      <c r="B12" s="234"/>
      <c r="C12" s="235"/>
      <c r="D12" s="178" t="s">
        <v>72</v>
      </c>
      <c r="E12" s="178" t="s">
        <v>73</v>
      </c>
    </row>
    <row r="13" spans="2:11" x14ac:dyDescent="0.2">
      <c r="B13" s="234"/>
      <c r="C13" s="235"/>
      <c r="D13" s="178" t="s">
        <v>74</v>
      </c>
      <c r="E13" s="178" t="s">
        <v>75</v>
      </c>
    </row>
    <row r="14" spans="2:11" x14ac:dyDescent="0.2">
      <c r="B14" s="234"/>
      <c r="C14" s="235"/>
      <c r="D14" s="178" t="s">
        <v>76</v>
      </c>
      <c r="E14" s="178" t="s">
        <v>77</v>
      </c>
    </row>
    <row r="15" spans="2:11" x14ac:dyDescent="0.2">
      <c r="B15" s="234"/>
      <c r="C15" s="235"/>
      <c r="D15" s="178" t="s">
        <v>78</v>
      </c>
      <c r="E15" s="178" t="s">
        <v>79</v>
      </c>
    </row>
    <row r="16" spans="2:11" x14ac:dyDescent="0.2">
      <c r="B16" s="234"/>
      <c r="C16" s="235"/>
      <c r="D16" s="178" t="s">
        <v>80</v>
      </c>
      <c r="E16" s="178" t="s">
        <v>81</v>
      </c>
    </row>
    <row r="17" spans="2:5" x14ac:dyDescent="0.2">
      <c r="B17" s="234"/>
      <c r="C17" s="235"/>
      <c r="D17" s="178" t="s">
        <v>82</v>
      </c>
      <c r="E17" s="178" t="s">
        <v>83</v>
      </c>
    </row>
    <row r="18" spans="2:5" x14ac:dyDescent="0.2">
      <c r="B18" s="234"/>
      <c r="C18" s="235"/>
      <c r="D18" s="178" t="s">
        <v>84</v>
      </c>
      <c r="E18" s="178" t="s">
        <v>85</v>
      </c>
    </row>
    <row r="19" spans="2:5" x14ac:dyDescent="0.2">
      <c r="B19" s="234"/>
      <c r="C19" s="235"/>
      <c r="D19" s="178" t="s">
        <v>86</v>
      </c>
      <c r="E19" s="178" t="s">
        <v>87</v>
      </c>
    </row>
    <row r="20" spans="2:5" x14ac:dyDescent="0.2">
      <c r="B20" s="234"/>
      <c r="C20" s="235"/>
      <c r="D20" s="178" t="s">
        <v>88</v>
      </c>
      <c r="E20" s="178" t="s">
        <v>89</v>
      </c>
    </row>
    <row r="21" spans="2:5" x14ac:dyDescent="0.2">
      <c r="B21" s="234"/>
      <c r="C21" s="235"/>
      <c r="D21" s="178" t="s">
        <v>90</v>
      </c>
      <c r="E21" s="178" t="s">
        <v>91</v>
      </c>
    </row>
    <row r="22" spans="2:5" x14ac:dyDescent="0.2">
      <c r="B22" s="234"/>
      <c r="C22" s="235"/>
      <c r="D22" s="178" t="s">
        <v>92</v>
      </c>
      <c r="E22" s="178" t="s">
        <v>93</v>
      </c>
    </row>
    <row r="23" spans="2:5" x14ac:dyDescent="0.2">
      <c r="B23" s="234"/>
      <c r="C23" s="235"/>
      <c r="D23" s="178" t="s">
        <v>94</v>
      </c>
      <c r="E23" s="178" t="s">
        <v>95</v>
      </c>
    </row>
    <row r="24" spans="2:5" x14ac:dyDescent="0.2">
      <c r="B24" s="234"/>
      <c r="C24" s="235"/>
      <c r="D24" s="178" t="s">
        <v>96</v>
      </c>
      <c r="E24" s="178" t="s">
        <v>97</v>
      </c>
    </row>
    <row r="25" spans="2:5" x14ac:dyDescent="0.2">
      <c r="B25" s="234"/>
      <c r="C25" s="235"/>
      <c r="D25" s="178" t="s">
        <v>98</v>
      </c>
      <c r="E25" s="178" t="s">
        <v>99</v>
      </c>
    </row>
    <row r="26" spans="2:5" x14ac:dyDescent="0.2">
      <c r="B26" s="234"/>
      <c r="C26" s="235"/>
      <c r="D26" s="178" t="s">
        <v>100</v>
      </c>
      <c r="E26" s="178" t="s">
        <v>101</v>
      </c>
    </row>
    <row r="27" spans="2:5" x14ac:dyDescent="0.2">
      <c r="B27" s="234"/>
      <c r="C27" s="235"/>
      <c r="D27" s="178" t="s">
        <v>102</v>
      </c>
      <c r="E27" s="178" t="s">
        <v>103</v>
      </c>
    </row>
    <row r="28" spans="2:5" x14ac:dyDescent="0.2">
      <c r="B28" s="234"/>
      <c r="C28" s="235"/>
      <c r="D28" s="178" t="s">
        <v>104</v>
      </c>
      <c r="E28" s="178" t="s">
        <v>105</v>
      </c>
    </row>
    <row r="29" spans="2:5" x14ac:dyDescent="0.2">
      <c r="B29" s="234"/>
      <c r="C29" s="235"/>
      <c r="D29" s="178" t="s">
        <v>50</v>
      </c>
      <c r="E29" s="178" t="s">
        <v>51</v>
      </c>
    </row>
    <row r="30" spans="2:5" x14ac:dyDescent="0.2">
      <c r="B30" s="234"/>
      <c r="C30" s="235"/>
      <c r="D30" s="178" t="s">
        <v>106</v>
      </c>
      <c r="E30" s="178" t="s">
        <v>107</v>
      </c>
    </row>
    <row r="31" spans="2:5" x14ac:dyDescent="0.2">
      <c r="B31" s="234"/>
      <c r="C31" s="235"/>
      <c r="D31" s="178" t="s">
        <v>108</v>
      </c>
      <c r="E31" s="178" t="s">
        <v>109</v>
      </c>
    </row>
    <row r="32" spans="2:5" x14ac:dyDescent="0.2">
      <c r="B32" s="234"/>
      <c r="C32" s="235"/>
      <c r="D32" s="178" t="s">
        <v>110</v>
      </c>
      <c r="E32" s="178" t="s">
        <v>52</v>
      </c>
    </row>
    <row r="33" spans="2:5" x14ac:dyDescent="0.2">
      <c r="B33" s="234"/>
      <c r="C33" s="235"/>
      <c r="D33" s="178" t="s">
        <v>111</v>
      </c>
      <c r="E33" s="178" t="s">
        <v>112</v>
      </c>
    </row>
    <row r="34" spans="2:5" x14ac:dyDescent="0.2">
      <c r="B34" s="234"/>
      <c r="C34" s="235"/>
      <c r="D34" s="178" t="s">
        <v>113</v>
      </c>
      <c r="E34" s="178" t="s">
        <v>114</v>
      </c>
    </row>
    <row r="35" spans="2:5" x14ac:dyDescent="0.2">
      <c r="B35" s="234"/>
      <c r="C35" s="235"/>
      <c r="D35" s="178" t="s">
        <v>117</v>
      </c>
      <c r="E35" s="178" t="s">
        <v>118</v>
      </c>
    </row>
    <row r="36" spans="2:5" x14ac:dyDescent="0.2">
      <c r="B36" s="234"/>
      <c r="C36" s="235"/>
      <c r="D36" s="178" t="s">
        <v>119</v>
      </c>
      <c r="E36" s="178" t="s">
        <v>120</v>
      </c>
    </row>
    <row r="37" spans="2:5" x14ac:dyDescent="0.2">
      <c r="B37" s="234"/>
      <c r="C37" s="235"/>
      <c r="D37" s="178" t="s">
        <v>121</v>
      </c>
      <c r="E37" s="178" t="s">
        <v>122</v>
      </c>
    </row>
    <row r="38" spans="2:5" x14ac:dyDescent="0.2">
      <c r="B38" s="234"/>
      <c r="C38" s="235"/>
      <c r="D38" s="178" t="s">
        <v>123</v>
      </c>
      <c r="E38" s="178" t="s">
        <v>124</v>
      </c>
    </row>
    <row r="39" spans="2:5" x14ac:dyDescent="0.2">
      <c r="B39" s="234"/>
      <c r="C39" s="235"/>
      <c r="D39" s="178" t="s">
        <v>125</v>
      </c>
      <c r="E39" s="178" t="s">
        <v>126</v>
      </c>
    </row>
    <row r="40" spans="2:5" x14ac:dyDescent="0.2">
      <c r="B40" s="234"/>
      <c r="C40" s="235"/>
      <c r="D40" s="178" t="s">
        <v>53</v>
      </c>
      <c r="E40" s="178" t="s">
        <v>127</v>
      </c>
    </row>
    <row r="41" spans="2:5" x14ac:dyDescent="0.2">
      <c r="B41" s="234"/>
      <c r="C41" s="235"/>
      <c r="D41" s="178" t="s">
        <v>128</v>
      </c>
      <c r="E41" s="178" t="s">
        <v>129</v>
      </c>
    </row>
    <row r="42" spans="2:5" x14ac:dyDescent="0.2">
      <c r="B42" s="234"/>
      <c r="C42" s="235"/>
      <c r="D42" s="178" t="s">
        <v>130</v>
      </c>
      <c r="E42" s="178" t="s">
        <v>131</v>
      </c>
    </row>
    <row r="43" spans="2:5" x14ac:dyDescent="0.2">
      <c r="B43" s="234"/>
      <c r="C43" s="235"/>
      <c r="D43" s="178" t="s">
        <v>132</v>
      </c>
      <c r="E43" s="178" t="s">
        <v>133</v>
      </c>
    </row>
    <row r="44" spans="2:5" x14ac:dyDescent="0.2">
      <c r="B44" s="234"/>
      <c r="C44" s="235"/>
      <c r="D44" s="178" t="s">
        <v>134</v>
      </c>
      <c r="E44" s="178" t="s">
        <v>135</v>
      </c>
    </row>
    <row r="45" spans="2:5" x14ac:dyDescent="0.2">
      <c r="B45" s="234"/>
      <c r="C45" s="235"/>
      <c r="D45" s="178" t="s">
        <v>54</v>
      </c>
      <c r="E45" s="178" t="s">
        <v>55</v>
      </c>
    </row>
    <row r="46" spans="2:5" x14ac:dyDescent="0.2">
      <c r="B46" s="234"/>
      <c r="C46" s="235"/>
      <c r="D46" s="178" t="s">
        <v>136</v>
      </c>
      <c r="E46" s="178" t="s">
        <v>137</v>
      </c>
    </row>
    <row r="47" spans="2:5" x14ac:dyDescent="0.2">
      <c r="B47" s="234"/>
      <c r="C47" s="235"/>
      <c r="D47" s="178" t="s">
        <v>138</v>
      </c>
      <c r="E47" s="178" t="s">
        <v>56</v>
      </c>
    </row>
    <row r="48" spans="2:5" x14ac:dyDescent="0.2">
      <c r="B48" s="234"/>
      <c r="C48" s="235"/>
      <c r="D48" s="178" t="s">
        <v>139</v>
      </c>
      <c r="E48" s="178" t="s">
        <v>140</v>
      </c>
    </row>
    <row r="49" spans="2:5" x14ac:dyDescent="0.2">
      <c r="B49" s="234"/>
      <c r="C49" s="235"/>
      <c r="D49" s="178" t="s">
        <v>141</v>
      </c>
      <c r="E49" s="178" t="s">
        <v>142</v>
      </c>
    </row>
    <row r="50" spans="2:5" x14ac:dyDescent="0.2">
      <c r="B50" s="234"/>
      <c r="C50" s="235"/>
      <c r="D50" s="178" t="s">
        <v>145</v>
      </c>
      <c r="E50" s="178" t="s">
        <v>146</v>
      </c>
    </row>
    <row r="51" spans="2:5" x14ac:dyDescent="0.2">
      <c r="B51" s="234"/>
      <c r="C51" s="235"/>
      <c r="D51" s="178" t="s">
        <v>147</v>
      </c>
      <c r="E51" s="178" t="s">
        <v>148</v>
      </c>
    </row>
    <row r="52" spans="2:5" x14ac:dyDescent="0.2">
      <c r="B52" s="234"/>
      <c r="C52" s="235"/>
      <c r="D52" s="178" t="s">
        <v>149</v>
      </c>
      <c r="E52" s="178" t="s">
        <v>150</v>
      </c>
    </row>
    <row r="53" spans="2:5" ht="13.15" customHeight="1" x14ac:dyDescent="0.2">
      <c r="B53" s="236"/>
      <c r="C53" s="237"/>
      <c r="D53" s="178" t="s">
        <v>58</v>
      </c>
      <c r="E53" s="178" t="s">
        <v>59</v>
      </c>
    </row>
    <row r="54" spans="2:5" x14ac:dyDescent="0.2">
      <c r="B54" s="238" t="s">
        <v>152</v>
      </c>
      <c r="C54" s="239"/>
      <c r="D54" s="183" t="s">
        <v>115</v>
      </c>
      <c r="E54" s="183" t="s">
        <v>116</v>
      </c>
    </row>
    <row r="55" spans="2:5" x14ac:dyDescent="0.2">
      <c r="B55" s="240" t="s">
        <v>153</v>
      </c>
      <c r="C55" s="240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7" t="s">
        <v>16</v>
      </c>
      <c r="B1" s="258"/>
      <c r="C1" s="258"/>
      <c r="D1" s="259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2" t="s">
        <v>44</v>
      </c>
      <c r="B3" s="253">
        <v>0</v>
      </c>
      <c r="C3" s="253">
        <v>0</v>
      </c>
      <c r="D3" s="254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2" t="s">
        <v>45</v>
      </c>
      <c r="B5" s="253">
        <v>0</v>
      </c>
      <c r="C5" s="253">
        <v>0</v>
      </c>
      <c r="D5" s="254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2" t="s">
        <v>46</v>
      </c>
      <c r="B7" s="253">
        <v>0</v>
      </c>
      <c r="C7" s="253">
        <v>0</v>
      </c>
      <c r="D7" s="254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2" t="s">
        <v>158</v>
      </c>
      <c r="B9" s="253"/>
      <c r="C9" s="253"/>
      <c r="D9" s="254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2" t="s">
        <v>157</v>
      </c>
      <c r="B12" s="253">
        <v>0</v>
      </c>
      <c r="C12" s="253">
        <v>0</v>
      </c>
      <c r="D12" s="254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2" t="s">
        <v>47</v>
      </c>
      <c r="B14" s="253">
        <v>0</v>
      </c>
      <c r="C14" s="253">
        <v>0</v>
      </c>
      <c r="D14" s="254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2" t="s">
        <v>156</v>
      </c>
      <c r="B16" s="253">
        <v>0</v>
      </c>
      <c r="C16" s="253">
        <v>0</v>
      </c>
      <c r="D16" s="254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5" t="s">
        <v>8</v>
      </c>
      <c r="B19" s="256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2" t="s">
        <v>20</v>
      </c>
      <c r="B20" s="243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2" t="s">
        <v>9</v>
      </c>
      <c r="B21" s="243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2" t="s">
        <v>18</v>
      </c>
      <c r="B22" s="243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2" t="s">
        <v>19</v>
      </c>
      <c r="B23" s="243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5" t="s">
        <v>30</v>
      </c>
      <c r="B26" s="246"/>
      <c r="C26" s="246"/>
      <c r="D26" s="246"/>
      <c r="E26" s="246"/>
      <c r="F26" s="246"/>
      <c r="G26" s="247"/>
    </row>
    <row r="27" spans="1:8" ht="45.75" thickBot="1" x14ac:dyDescent="0.25">
      <c r="A27" s="248" t="s">
        <v>2</v>
      </c>
      <c r="B27" s="249"/>
      <c r="C27" s="83" t="s">
        <v>4</v>
      </c>
      <c r="D27" s="83" t="s">
        <v>17</v>
      </c>
      <c r="E27" s="83" t="s">
        <v>5</v>
      </c>
      <c r="F27" s="250" t="s">
        <v>3</v>
      </c>
      <c r="G27" s="251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4"/>
      <c r="E29" s="244"/>
      <c r="F29" s="244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"/>
  <sheetViews>
    <sheetView zoomScale="85" zoomScaleNormal="85" workbookViewId="0">
      <selection activeCell="F4" sqref="F4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72393.820000000007</v>
      </c>
      <c r="C4" s="151">
        <v>12</v>
      </c>
      <c r="D4" s="152">
        <v>1E-4</v>
      </c>
      <c r="E4" s="152">
        <v>0</v>
      </c>
      <c r="F4" s="152">
        <v>4.99E-2</v>
      </c>
      <c r="G4" s="151" t="str">
        <f t="shared" ref="G4:G9" si="0">I$2&amp;" "&amp;B4&amp;" "&amp;H$2</f>
        <v>max. 72393,82 грн.</v>
      </c>
      <c r="H4" s="185">
        <f>B4+B4*K4</f>
        <v>74999.997520000004</v>
      </c>
      <c r="I4" s="151">
        <v>5</v>
      </c>
      <c r="K4" s="186">
        <v>3.5999999999999997E-2</v>
      </c>
      <c r="L4" s="153">
        <f t="shared" ref="L4" si="1">D4/12/(1-1/POWER(1+D4/12,C4))*H4+H4*F4</f>
        <v>9992.8382163772112</v>
      </c>
      <c r="M4" s="154">
        <f t="shared" ref="M4:M9" si="2">F4</f>
        <v>4.99E-2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161</v>
      </c>
      <c r="B5" s="121">
        <v>74257.429999999993</v>
      </c>
      <c r="C5" s="151">
        <v>24</v>
      </c>
      <c r="D5" s="152">
        <v>1E-4</v>
      </c>
      <c r="E5" s="152">
        <v>0</v>
      </c>
      <c r="F5" s="152">
        <v>4.99E-2</v>
      </c>
      <c r="G5" s="151" t="str">
        <f t="shared" si="0"/>
        <v>max. 74257,43 грн.</v>
      </c>
      <c r="H5" s="185">
        <f t="shared" ref="H5:H6" si="3">B5+B5*K5</f>
        <v>75000.004299999986</v>
      </c>
      <c r="I5" s="151">
        <v>9</v>
      </c>
      <c r="K5" s="184">
        <v>0.01</v>
      </c>
      <c r="L5" s="153">
        <f t="shared" ref="L5:L7" si="4">D5/12/(1-1/POWER(1+D5/12,C5))*H5+H5*F5</f>
        <v>6867.8259249706507</v>
      </c>
      <c r="M5" s="154">
        <f t="shared" si="2"/>
        <v>4.99E-2</v>
      </c>
      <c r="N5" s="154"/>
      <c r="O5" s="155">
        <v>0</v>
      </c>
      <c r="P5" s="151">
        <v>1000</v>
      </c>
    </row>
    <row r="6" spans="1:16" x14ac:dyDescent="0.2">
      <c r="A6" s="151" t="s">
        <v>165</v>
      </c>
      <c r="B6" s="121">
        <v>74257.429999999993</v>
      </c>
      <c r="C6" s="151">
        <v>36</v>
      </c>
      <c r="D6" s="152">
        <v>1E-4</v>
      </c>
      <c r="E6" s="152">
        <v>0</v>
      </c>
      <c r="F6" s="152">
        <v>4.99E-2</v>
      </c>
      <c r="G6" s="151" t="str">
        <f t="shared" si="0"/>
        <v>max. 74257,43 грн.</v>
      </c>
      <c r="H6" s="185">
        <f t="shared" si="3"/>
        <v>75000.004299999986</v>
      </c>
      <c r="I6" s="151">
        <v>12</v>
      </c>
      <c r="J6" s="151"/>
      <c r="K6" s="184">
        <v>0.01</v>
      </c>
      <c r="L6" s="153">
        <f t="shared" si="4"/>
        <v>5826.154863523705</v>
      </c>
      <c r="M6" s="154">
        <f t="shared" si="2"/>
        <v>4.99E-2</v>
      </c>
      <c r="N6" s="154"/>
      <c r="O6" s="155">
        <v>0</v>
      </c>
      <c r="P6" s="151">
        <v>1000</v>
      </c>
    </row>
    <row r="7" spans="1:16" s="151" customFormat="1" x14ac:dyDescent="0.2">
      <c r="A7" s="151" t="s">
        <v>162</v>
      </c>
      <c r="B7" s="121">
        <v>192307.69</v>
      </c>
      <c r="C7" s="151">
        <v>12</v>
      </c>
      <c r="D7" s="152">
        <v>1E-4</v>
      </c>
      <c r="E7" s="152">
        <v>0</v>
      </c>
      <c r="F7" s="152">
        <v>2.5000000000000001E-2</v>
      </c>
      <c r="G7" s="151" t="str">
        <f t="shared" si="0"/>
        <v>max. 192307,69 грн.</v>
      </c>
      <c r="H7" s="185">
        <f>B7+B7*K7</f>
        <v>199999.9976</v>
      </c>
      <c r="I7" s="151">
        <v>0</v>
      </c>
      <c r="K7" s="184">
        <v>0.04</v>
      </c>
      <c r="L7" s="153">
        <f t="shared" si="4"/>
        <v>21667.569198141362</v>
      </c>
      <c r="M7" s="154">
        <f t="shared" si="2"/>
        <v>2.5000000000000001E-2</v>
      </c>
      <c r="N7" s="154"/>
      <c r="O7" s="155">
        <v>0</v>
      </c>
      <c r="P7" s="151">
        <v>1000</v>
      </c>
    </row>
    <row r="8" spans="1:16" s="151" customFormat="1" x14ac:dyDescent="0.2">
      <c r="A8" s="151" t="s">
        <v>163</v>
      </c>
      <c r="B8" s="121">
        <v>192307.69</v>
      </c>
      <c r="C8" s="151">
        <v>24</v>
      </c>
      <c r="D8" s="152">
        <v>1E-4</v>
      </c>
      <c r="E8" s="152">
        <v>0</v>
      </c>
      <c r="F8" s="152">
        <v>2.5000000000000001E-2</v>
      </c>
      <c r="G8" s="151" t="str">
        <f t="shared" si="0"/>
        <v>max. 192307,69 грн.</v>
      </c>
      <c r="H8" s="185">
        <f t="shared" ref="H8:H9" si="5">B8+B8*K8</f>
        <v>199999.9976</v>
      </c>
      <c r="I8" s="151">
        <v>0</v>
      </c>
      <c r="K8" s="184">
        <v>0.04</v>
      </c>
      <c r="L8" s="153">
        <f t="shared" ref="L8:L9" si="6">D8/12/(1-1/POWER(1+D8/12,C8))*H8+H8*F8</f>
        <v>13334.201256563774</v>
      </c>
      <c r="M8" s="154">
        <f t="shared" si="2"/>
        <v>2.5000000000000001E-2</v>
      </c>
      <c r="N8" s="154"/>
      <c r="O8" s="155">
        <v>0</v>
      </c>
      <c r="P8" s="151">
        <v>1000</v>
      </c>
    </row>
    <row r="9" spans="1:16" x14ac:dyDescent="0.2">
      <c r="A9" s="151" t="s">
        <v>164</v>
      </c>
      <c r="B9" s="121">
        <v>192307.69</v>
      </c>
      <c r="C9" s="151">
        <v>36</v>
      </c>
      <c r="D9" s="152">
        <v>1E-4</v>
      </c>
      <c r="E9" s="152">
        <v>0</v>
      </c>
      <c r="F9" s="152">
        <v>2.5000000000000001E-2</v>
      </c>
      <c r="G9" s="151" t="str">
        <f t="shared" si="0"/>
        <v>max. 192307,69 грн.</v>
      </c>
      <c r="H9" s="185">
        <f t="shared" si="5"/>
        <v>199999.9976</v>
      </c>
      <c r="I9" s="151">
        <v>0</v>
      </c>
      <c r="J9" s="151"/>
      <c r="K9" s="184">
        <v>0.04</v>
      </c>
      <c r="L9" s="153">
        <f t="shared" si="6"/>
        <v>10556.411951965314</v>
      </c>
      <c r="M9" s="154">
        <f t="shared" si="2"/>
        <v>2.5000000000000001E-2</v>
      </c>
      <c r="N9" s="154"/>
      <c r="O9" s="155">
        <v>0</v>
      </c>
      <c r="P9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Ідея_ТзОВ РБ-Трейдинг</vt:lpstr>
      <vt:lpstr>Перелік партнерів</vt:lpstr>
      <vt:lpstr>Назви</vt:lpstr>
      <vt:lpstr>Лист2</vt:lpstr>
      <vt:lpstr>'NST Ідея_ТзОВ РБ-Трейдинг'!Область_друку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2025-07-17T06:17:52Z</dcterms:modified>
</cp:coreProperties>
</file>