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I-Shop_Satellite\"/>
    </mc:Choice>
  </mc:AlternateContent>
  <xr:revisionPtr revIDLastSave="0" documentId="13_ncr:1_{22C77F1F-A7CD-4C77-B461-8168EA0D481E}" xr6:coauthVersionLast="47" xr6:coauthVersionMax="47" xr10:uidLastSave="{00000000-0000-0000-0000-000000000000}"/>
  <workbookProtection workbookAlgorithmName="SHA-512" workbookHashValue="1SOHEPzqJNb3zOUjPgx9Za85zgJ1D2bCBknu93FFC3G/OvOM5mRMzmMRu6CQY/jpvITPm+P5DAKsGK+/j+Ijrw==" workbookSaltValue="JbdBaRiZKq2dwI2z3k4pEQ==" workbookSpinCount="100000" lockStructure="1"/>
  <bookViews>
    <workbookView xWindow="-120" yWindow="-120" windowWidth="29040" windowHeight="15990" tabRatio="863" activeTab="4" xr2:uid="{00000000-000D-0000-FFFF-FFFF00000000}"/>
  </bookViews>
  <sheets>
    <sheet name="Satellite_0-3-24" sheetId="164" r:id="rId1"/>
    <sheet name="Satellite_0-10-24" sheetId="173" r:id="rId2"/>
    <sheet name="Перелік партнерів" sheetId="172" state="hidden" r:id="rId3"/>
    <sheet name="Назви" sheetId="161" state="hidden" r:id="rId4"/>
    <sheet name="Satellite_0-6-18" sheetId="174" r:id="rId5"/>
    <sheet name="Лист2" sheetId="165" state="hidden" r:id="rId6"/>
  </sheets>
  <definedNames>
    <definedName name="_xlnm.Print_Area" localSheetId="1">'Satellite_0-10-24'!$A$1:$J$103</definedName>
    <definedName name="_xlnm.Print_Area" localSheetId="0">'Satellite_0-3-24'!$A$1:$I$103</definedName>
    <definedName name="_xlnm.Print_Area" localSheetId="4">'Satellite_0-6-18'!$A$1:$I$103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C39" i="173"/>
  <c r="C40" i="173" s="1"/>
  <c r="C41" i="173" s="1"/>
  <c r="C42" i="173" s="1"/>
  <c r="C43" i="173" s="1"/>
  <c r="C44" i="173" s="1"/>
  <c r="C45" i="173" s="1"/>
  <c r="C46" i="173" s="1"/>
  <c r="C47" i="173" s="1"/>
  <c r="C48" i="173" s="1"/>
  <c r="C49" i="173" s="1"/>
  <c r="C50" i="173" s="1"/>
  <c r="C51" i="173" s="1"/>
  <c r="C52" i="173" s="1"/>
  <c r="C53" i="173" s="1"/>
  <c r="C54" i="173" s="1"/>
  <c r="C55" i="173" s="1"/>
  <c r="C56" i="173" s="1"/>
  <c r="C57" i="173" s="1"/>
  <c r="C58" i="173" s="1"/>
  <c r="C59" i="173" s="1"/>
  <c r="C60" i="173" s="1"/>
  <c r="C61" i="173" s="1"/>
  <c r="C62" i="173" s="1"/>
  <c r="C63" i="173" s="1"/>
  <c r="C64" i="173" s="1"/>
  <c r="C65" i="173" s="1"/>
  <c r="C66" i="173" s="1"/>
  <c r="C67" i="173" s="1"/>
  <c r="C68" i="173" s="1"/>
  <c r="C69" i="173" s="1"/>
  <c r="C70" i="173" s="1"/>
  <c r="C71" i="173" s="1"/>
  <c r="C72" i="173" s="1"/>
  <c r="C73" i="173" s="1"/>
  <c r="C74" i="173" s="1"/>
  <c r="C75" i="173" s="1"/>
  <c r="C76" i="173" s="1"/>
  <c r="C77" i="173" s="1"/>
  <c r="C78" i="173" s="1"/>
  <c r="C79" i="173" s="1"/>
  <c r="C80" i="173" s="1"/>
  <c r="C81" i="173" s="1"/>
  <c r="C82" i="173" s="1"/>
  <c r="C83" i="173" s="1"/>
  <c r="C84" i="173" s="1"/>
  <c r="C85" i="173" s="1"/>
  <c r="C86" i="173" s="1"/>
  <c r="C87" i="173" s="1"/>
  <c r="C88" i="173" s="1"/>
  <c r="C89" i="173" s="1"/>
  <c r="C90" i="173" s="1"/>
  <c r="C91" i="173" s="1"/>
  <c r="C92" i="173" s="1"/>
  <c r="C93" i="173" s="1"/>
  <c r="C94" i="173" s="1"/>
  <c r="C95" i="173" s="1"/>
  <c r="C96" i="173" s="1"/>
  <c r="C97" i="173" s="1"/>
  <c r="C98" i="173" s="1"/>
  <c r="C99" i="173" s="1"/>
  <c r="C39" i="174"/>
  <c r="C40" i="174" s="1"/>
  <c r="C41" i="174" s="1"/>
  <c r="C42" i="174" s="1"/>
  <c r="C43" i="174" s="1"/>
  <c r="C44" i="174" s="1"/>
  <c r="C45" i="174" s="1"/>
  <c r="C46" i="174" s="1"/>
  <c r="C47" i="174" s="1"/>
  <c r="C48" i="174" s="1"/>
  <c r="C49" i="174" s="1"/>
  <c r="C50" i="174" s="1"/>
  <c r="C51" i="174" s="1"/>
  <c r="C52" i="174" s="1"/>
  <c r="C53" i="174" s="1"/>
  <c r="C54" i="174" s="1"/>
  <c r="C55" i="174" s="1"/>
  <c r="C56" i="174" s="1"/>
  <c r="C57" i="174" s="1"/>
  <c r="C58" i="174" s="1"/>
  <c r="C59" i="174" s="1"/>
  <c r="C60" i="174" s="1"/>
  <c r="C61" i="174" s="1"/>
  <c r="C62" i="174" s="1"/>
  <c r="C63" i="174" s="1"/>
  <c r="C64" i="174" s="1"/>
  <c r="C65" i="174" s="1"/>
  <c r="C66" i="174" s="1"/>
  <c r="C67" i="174" s="1"/>
  <c r="C68" i="174" s="1"/>
  <c r="C69" i="174" s="1"/>
  <c r="C70" i="174" s="1"/>
  <c r="C71" i="174" s="1"/>
  <c r="C72" i="174" s="1"/>
  <c r="C73" i="174" s="1"/>
  <c r="C74" i="174" s="1"/>
  <c r="C75" i="174" s="1"/>
  <c r="C76" i="174" s="1"/>
  <c r="C77" i="174" s="1"/>
  <c r="C78" i="174" s="1"/>
  <c r="C79" i="174" s="1"/>
  <c r="C80" i="174" s="1"/>
  <c r="C81" i="174" s="1"/>
  <c r="C82" i="174" s="1"/>
  <c r="C83" i="174" s="1"/>
  <c r="C84" i="174" s="1"/>
  <c r="C85" i="174" s="1"/>
  <c r="C86" i="174" s="1"/>
  <c r="C87" i="174" s="1"/>
  <c r="C88" i="174" s="1"/>
  <c r="C89" i="174" s="1"/>
  <c r="C90" i="174" s="1"/>
  <c r="C91" i="174" s="1"/>
  <c r="C92" i="174" s="1"/>
  <c r="C93" i="174" s="1"/>
  <c r="C94" i="174" s="1"/>
  <c r="C95" i="174" s="1"/>
  <c r="C96" i="174" s="1"/>
  <c r="C97" i="174" s="1"/>
  <c r="C98" i="174" s="1"/>
  <c r="C99" i="174" s="1"/>
  <c r="L9" i="174"/>
  <c r="G39" i="174"/>
  <c r="G38" i="174"/>
  <c r="E38" i="174"/>
  <c r="D38" i="174"/>
  <c r="B38" i="174"/>
  <c r="B37" i="174"/>
  <c r="I34" i="174"/>
  <c r="F34" i="174"/>
  <c r="E34" i="174"/>
  <c r="D34" i="174"/>
  <c r="A34" i="174"/>
  <c r="F33" i="174"/>
  <c r="E33" i="174"/>
  <c r="G33" i="174" s="1"/>
  <c r="D33" i="174"/>
  <c r="I33" i="174" s="1"/>
  <c r="A33" i="174"/>
  <c r="F32" i="174"/>
  <c r="E32" i="174"/>
  <c r="D32" i="174"/>
  <c r="A32" i="174"/>
  <c r="G32" i="174" s="1"/>
  <c r="F31" i="174"/>
  <c r="E31" i="174"/>
  <c r="G31" i="174" s="1"/>
  <c r="D31" i="174"/>
  <c r="A31" i="174"/>
  <c r="I30" i="174"/>
  <c r="H30" i="174"/>
  <c r="G30" i="174"/>
  <c r="F30" i="174"/>
  <c r="E30" i="174"/>
  <c r="D30" i="174"/>
  <c r="C30" i="174"/>
  <c r="B30" i="174"/>
  <c r="E28" i="174"/>
  <c r="D28" i="174"/>
  <c r="C28" i="174"/>
  <c r="B28" i="174"/>
  <c r="E26" i="174"/>
  <c r="D26" i="174"/>
  <c r="C26" i="174"/>
  <c r="B26" i="174"/>
  <c r="B24" i="174"/>
  <c r="F21" i="174"/>
  <c r="D95" i="174" s="1"/>
  <c r="E21" i="174"/>
  <c r="D21" i="174"/>
  <c r="C21" i="174"/>
  <c r="B21" i="174"/>
  <c r="F19" i="174"/>
  <c r="E19" i="174"/>
  <c r="D19" i="174"/>
  <c r="C19" i="174"/>
  <c r="B19" i="174"/>
  <c r="F17" i="174"/>
  <c r="F15" i="174"/>
  <c r="F13" i="174"/>
  <c r="E97" i="174" s="1"/>
  <c r="F11" i="174"/>
  <c r="E22" i="174" s="1"/>
  <c r="E11" i="174"/>
  <c r="D11" i="174"/>
  <c r="C11" i="174"/>
  <c r="B11" i="174"/>
  <c r="F9" i="174"/>
  <c r="E9" i="174"/>
  <c r="D9" i="174"/>
  <c r="C9" i="174"/>
  <c r="B9" i="174"/>
  <c r="H3" i="174"/>
  <c r="G3" i="174"/>
  <c r="G2" i="174"/>
  <c r="F2" i="174"/>
  <c r="E2" i="174"/>
  <c r="M6" i="165"/>
  <c r="L6" i="165"/>
  <c r="H6" i="165"/>
  <c r="G6" i="165"/>
  <c r="L8" i="173"/>
  <c r="H5" i="165"/>
  <c r="M5" i="165"/>
  <c r="L5" i="165"/>
  <c r="G5" i="165"/>
  <c r="G39" i="173"/>
  <c r="G38" i="173"/>
  <c r="E38" i="173"/>
  <c r="D38" i="173"/>
  <c r="B38" i="173"/>
  <c r="B37" i="173"/>
  <c r="F34" i="173"/>
  <c r="E34" i="173"/>
  <c r="D34" i="173"/>
  <c r="A34" i="173"/>
  <c r="F33" i="173"/>
  <c r="E33" i="173"/>
  <c r="G33" i="173" s="1"/>
  <c r="D33" i="173"/>
  <c r="A33" i="173"/>
  <c r="F32" i="173"/>
  <c r="E32" i="173"/>
  <c r="D32" i="173"/>
  <c r="A32" i="173"/>
  <c r="H31" i="173"/>
  <c r="F31" i="173"/>
  <c r="E31" i="173"/>
  <c r="D31" i="173"/>
  <c r="A31" i="173"/>
  <c r="G31" i="173" s="1"/>
  <c r="I30" i="173"/>
  <c r="H30" i="173"/>
  <c r="G30" i="173"/>
  <c r="F30" i="173"/>
  <c r="E30" i="173"/>
  <c r="D30" i="173"/>
  <c r="C30" i="173"/>
  <c r="B30" i="173"/>
  <c r="E28" i="173"/>
  <c r="D28" i="173"/>
  <c r="C28" i="173"/>
  <c r="B28" i="173"/>
  <c r="E26" i="173"/>
  <c r="D26" i="173"/>
  <c r="C26" i="173"/>
  <c r="B26" i="173"/>
  <c r="B24" i="173"/>
  <c r="F21" i="173"/>
  <c r="F93" i="173" s="1"/>
  <c r="E21" i="173"/>
  <c r="D21" i="173"/>
  <c r="C21" i="173"/>
  <c r="B21" i="173"/>
  <c r="F19" i="173"/>
  <c r="E19" i="173"/>
  <c r="D19" i="173"/>
  <c r="C19" i="173"/>
  <c r="B19" i="173"/>
  <c r="F17" i="173"/>
  <c r="F15" i="173"/>
  <c r="F13" i="173"/>
  <c r="E99" i="173" s="1"/>
  <c r="F11" i="173"/>
  <c r="E22" i="173" s="1"/>
  <c r="E11" i="173"/>
  <c r="D11" i="173"/>
  <c r="C11" i="173"/>
  <c r="B11" i="173"/>
  <c r="F9" i="173"/>
  <c r="E9" i="173"/>
  <c r="D9" i="173"/>
  <c r="C9" i="173"/>
  <c r="B9" i="173"/>
  <c r="H3" i="173"/>
  <c r="G3" i="173"/>
  <c r="I34" i="173" s="1"/>
  <c r="G2" i="173"/>
  <c r="F2" i="173"/>
  <c r="E2" i="173"/>
  <c r="H4" i="165"/>
  <c r="F65" i="174" l="1"/>
  <c r="E70" i="174"/>
  <c r="D75" i="174"/>
  <c r="F81" i="174"/>
  <c r="E86" i="174"/>
  <c r="D91" i="174"/>
  <c r="F97" i="174"/>
  <c r="E66" i="174"/>
  <c r="D71" i="174"/>
  <c r="F77" i="174"/>
  <c r="E82" i="174"/>
  <c r="D87" i="174"/>
  <c r="F93" i="174"/>
  <c r="E98" i="174"/>
  <c r="F7" i="174"/>
  <c r="E3" i="174" s="1"/>
  <c r="F3" i="174" s="1"/>
  <c r="D67" i="174"/>
  <c r="F73" i="174"/>
  <c r="E78" i="174"/>
  <c r="D83" i="174"/>
  <c r="F89" i="174"/>
  <c r="E94" i="174"/>
  <c r="D99" i="174"/>
  <c r="E42" i="174"/>
  <c r="F69" i="174"/>
  <c r="E74" i="174"/>
  <c r="D79" i="174"/>
  <c r="F85" i="174"/>
  <c r="E90" i="174"/>
  <c r="H32" i="174"/>
  <c r="D59" i="174"/>
  <c r="E62" i="174"/>
  <c r="I32" i="174"/>
  <c r="H31" i="174"/>
  <c r="D63" i="174"/>
  <c r="H34" i="174"/>
  <c r="G34" i="174"/>
  <c r="I31" i="174"/>
  <c r="H33" i="174"/>
  <c r="E58" i="174"/>
  <c r="F61" i="174"/>
  <c r="E43" i="174"/>
  <c r="F58" i="174"/>
  <c r="E59" i="174"/>
  <c r="D60" i="174"/>
  <c r="F62" i="174"/>
  <c r="E63" i="174"/>
  <c r="D64" i="174"/>
  <c r="F66" i="174"/>
  <c r="E67" i="174"/>
  <c r="D68" i="174"/>
  <c r="F70" i="174"/>
  <c r="E71" i="174"/>
  <c r="D72" i="174"/>
  <c r="F74" i="174"/>
  <c r="E75" i="174"/>
  <c r="D76" i="174"/>
  <c r="F78" i="174"/>
  <c r="E79" i="174"/>
  <c r="D80" i="174"/>
  <c r="F82" i="174"/>
  <c r="E83" i="174"/>
  <c r="D84" i="174"/>
  <c r="F86" i="174"/>
  <c r="E87" i="174"/>
  <c r="D88" i="174"/>
  <c r="F90" i="174"/>
  <c r="E91" i="174"/>
  <c r="D92" i="174"/>
  <c r="F94" i="174"/>
  <c r="E95" i="174"/>
  <c r="D96" i="174"/>
  <c r="F98" i="174"/>
  <c r="E99" i="174"/>
  <c r="E40" i="174"/>
  <c r="E44" i="174"/>
  <c r="F59" i="174"/>
  <c r="E60" i="174"/>
  <c r="D61" i="174"/>
  <c r="F63" i="174"/>
  <c r="E64" i="174"/>
  <c r="D65" i="174"/>
  <c r="F67" i="174"/>
  <c r="E68" i="174"/>
  <c r="D69" i="174"/>
  <c r="F71" i="174"/>
  <c r="E72" i="174"/>
  <c r="D73" i="174"/>
  <c r="F75" i="174"/>
  <c r="E76" i="174"/>
  <c r="D77" i="174"/>
  <c r="F79" i="174"/>
  <c r="E80" i="174"/>
  <c r="D81" i="174"/>
  <c r="F83" i="174"/>
  <c r="E84" i="174"/>
  <c r="D85" i="174"/>
  <c r="F87" i="174"/>
  <c r="E88" i="174"/>
  <c r="D89" i="174"/>
  <c r="F91" i="174"/>
  <c r="E92" i="174"/>
  <c r="D93" i="174"/>
  <c r="F95" i="174"/>
  <c r="E96" i="174"/>
  <c r="D97" i="174"/>
  <c r="F99" i="174"/>
  <c r="E41" i="174"/>
  <c r="E45" i="174"/>
  <c r="D58" i="174"/>
  <c r="F60" i="174"/>
  <c r="E61" i="174"/>
  <c r="D62" i="174"/>
  <c r="F64" i="174"/>
  <c r="E65" i="174"/>
  <c r="D66" i="174"/>
  <c r="F68" i="174"/>
  <c r="E69" i="174"/>
  <c r="D70" i="174"/>
  <c r="F72" i="174"/>
  <c r="E73" i="174"/>
  <c r="D74" i="174"/>
  <c r="F76" i="174"/>
  <c r="E77" i="174"/>
  <c r="D78" i="174"/>
  <c r="F80" i="174"/>
  <c r="E81" i="174"/>
  <c r="D82" i="174"/>
  <c r="F84" i="174"/>
  <c r="E85" i="174"/>
  <c r="D86" i="174"/>
  <c r="F88" i="174"/>
  <c r="E89" i="174"/>
  <c r="D90" i="174"/>
  <c r="F92" i="174"/>
  <c r="E93" i="174"/>
  <c r="D94" i="174"/>
  <c r="F96" i="174"/>
  <c r="D98" i="174"/>
  <c r="F94" i="173"/>
  <c r="D69" i="173"/>
  <c r="D83" i="173"/>
  <c r="D72" i="173"/>
  <c r="D87" i="173"/>
  <c r="E74" i="173"/>
  <c r="D89" i="173"/>
  <c r="E42" i="173"/>
  <c r="E76" i="173"/>
  <c r="E91" i="173"/>
  <c r="E70" i="173"/>
  <c r="E72" i="173"/>
  <c r="F74" i="173"/>
  <c r="F77" i="173"/>
  <c r="D84" i="173"/>
  <c r="E87" i="173"/>
  <c r="F89" i="173"/>
  <c r="F91" i="173"/>
  <c r="F95" i="173"/>
  <c r="D67" i="173"/>
  <c r="D71" i="173"/>
  <c r="D73" i="173"/>
  <c r="E75" i="173"/>
  <c r="F78" i="173"/>
  <c r="D85" i="173"/>
  <c r="D88" i="173"/>
  <c r="E90" i="173"/>
  <c r="E92" i="173"/>
  <c r="D99" i="173"/>
  <c r="E40" i="173"/>
  <c r="D68" i="173"/>
  <c r="E71" i="173"/>
  <c r="F73" i="173"/>
  <c r="F75" i="173"/>
  <c r="F79" i="173"/>
  <c r="E86" i="173"/>
  <c r="E88" i="173"/>
  <c r="F90" i="173"/>
  <c r="H34" i="173"/>
  <c r="G34" i="173"/>
  <c r="I31" i="173"/>
  <c r="H32" i="173"/>
  <c r="H33" i="173"/>
  <c r="I32" i="173"/>
  <c r="I33" i="173"/>
  <c r="G32" i="173"/>
  <c r="F7" i="173"/>
  <c r="E53" i="173" s="1"/>
  <c r="E97" i="173"/>
  <c r="E93" i="173"/>
  <c r="E89" i="173"/>
  <c r="E85" i="173"/>
  <c r="E81" i="173"/>
  <c r="E77" i="173"/>
  <c r="E73" i="173"/>
  <c r="E69" i="173"/>
  <c r="E65" i="173"/>
  <c r="E41" i="173"/>
  <c r="D98" i="173"/>
  <c r="F96" i="173"/>
  <c r="D94" i="173"/>
  <c r="F92" i="173"/>
  <c r="D90" i="173"/>
  <c r="F88" i="173"/>
  <c r="D86" i="173"/>
  <c r="F84" i="173"/>
  <c r="D82" i="173"/>
  <c r="F80" i="173"/>
  <c r="D78" i="173"/>
  <c r="F76" i="173"/>
  <c r="D74" i="173"/>
  <c r="F72" i="173"/>
  <c r="D70" i="173"/>
  <c r="F68" i="173"/>
  <c r="D66" i="173"/>
  <c r="F64" i="173"/>
  <c r="F99" i="173"/>
  <c r="D64" i="173"/>
  <c r="D65" i="173"/>
  <c r="E66" i="173"/>
  <c r="E67" i="173"/>
  <c r="E68" i="173"/>
  <c r="F69" i="173"/>
  <c r="F70" i="173"/>
  <c r="F71" i="173"/>
  <c r="D79" i="173"/>
  <c r="D80" i="173"/>
  <c r="D81" i="173"/>
  <c r="E82" i="173"/>
  <c r="E83" i="173"/>
  <c r="E84" i="173"/>
  <c r="F85" i="173"/>
  <c r="F86" i="173"/>
  <c r="F87" i="173"/>
  <c r="D95" i="173"/>
  <c r="D96" i="173"/>
  <c r="D97" i="173"/>
  <c r="E98" i="173"/>
  <c r="E64" i="173"/>
  <c r="F65" i="173"/>
  <c r="F66" i="173"/>
  <c r="F67" i="173"/>
  <c r="D75" i="173"/>
  <c r="D76" i="173"/>
  <c r="D77" i="173"/>
  <c r="E78" i="173"/>
  <c r="E79" i="173"/>
  <c r="E80" i="173"/>
  <c r="F81" i="173"/>
  <c r="F82" i="173"/>
  <c r="F83" i="173"/>
  <c r="D91" i="173"/>
  <c r="D92" i="173"/>
  <c r="D93" i="173"/>
  <c r="E94" i="173"/>
  <c r="E95" i="173"/>
  <c r="E96" i="173"/>
  <c r="F97" i="173"/>
  <c r="F98" i="173"/>
  <c r="E2" i="164"/>
  <c r="D48" i="174" l="1"/>
  <c r="F40" i="174"/>
  <c r="D57" i="174"/>
  <c r="D54" i="174"/>
  <c r="G73" i="173"/>
  <c r="G99" i="173"/>
  <c r="F44" i="173"/>
  <c r="G75" i="174"/>
  <c r="F53" i="174"/>
  <c r="G59" i="174"/>
  <c r="D41" i="174"/>
  <c r="G66" i="174"/>
  <c r="E49" i="174"/>
  <c r="E52" i="174"/>
  <c r="G95" i="174"/>
  <c r="D43" i="174"/>
  <c r="G79" i="174"/>
  <c r="G91" i="174"/>
  <c r="G87" i="174"/>
  <c r="F47" i="174"/>
  <c r="G83" i="174"/>
  <c r="G67" i="174"/>
  <c r="F54" i="174"/>
  <c r="G71" i="174"/>
  <c r="G62" i="174"/>
  <c r="G94" i="174"/>
  <c r="G90" i="174"/>
  <c r="G78" i="174"/>
  <c r="G74" i="174"/>
  <c r="G63" i="174"/>
  <c r="G77" i="173"/>
  <c r="G74" i="173"/>
  <c r="G86" i="174"/>
  <c r="G82" i="174"/>
  <c r="G70" i="174"/>
  <c r="G58" i="174"/>
  <c r="E53" i="174"/>
  <c r="F48" i="174"/>
  <c r="G48" i="174" s="1"/>
  <c r="F44" i="174"/>
  <c r="E56" i="174"/>
  <c r="F51" i="174"/>
  <c r="D45" i="174"/>
  <c r="D52" i="174"/>
  <c r="G52" i="174" s="1"/>
  <c r="E47" i="174"/>
  <c r="F42" i="174"/>
  <c r="D55" i="174"/>
  <c r="E50" i="174"/>
  <c r="G98" i="174"/>
  <c r="E57" i="174"/>
  <c r="F52" i="174"/>
  <c r="D42" i="174"/>
  <c r="G97" i="174"/>
  <c r="F55" i="174"/>
  <c r="D49" i="174"/>
  <c r="D56" i="174"/>
  <c r="E51" i="174"/>
  <c r="F46" i="174"/>
  <c r="D40" i="174"/>
  <c r="F45" i="174"/>
  <c r="G45" i="174" s="1"/>
  <c r="D47" i="174"/>
  <c r="G47" i="174" s="1"/>
  <c r="F56" i="174"/>
  <c r="D50" i="174"/>
  <c r="D46" i="174"/>
  <c r="D53" i="174"/>
  <c r="E48" i="174"/>
  <c r="F43" i="174"/>
  <c r="E55" i="174"/>
  <c r="F50" i="174"/>
  <c r="D44" i="174"/>
  <c r="F49" i="174"/>
  <c r="F57" i="174"/>
  <c r="E46" i="174"/>
  <c r="G89" i="174"/>
  <c r="G73" i="174"/>
  <c r="G93" i="174"/>
  <c r="G77" i="174"/>
  <c r="G61" i="174"/>
  <c r="E23" i="174"/>
  <c r="E54" i="174"/>
  <c r="G81" i="174"/>
  <c r="G65" i="174"/>
  <c r="G49" i="174"/>
  <c r="G99" i="174"/>
  <c r="F41" i="174"/>
  <c r="G85" i="174"/>
  <c r="G69" i="174"/>
  <c r="D51" i="174"/>
  <c r="G96" i="174"/>
  <c r="G92" i="174"/>
  <c r="G88" i="174"/>
  <c r="G84" i="174"/>
  <c r="G80" i="174"/>
  <c r="G76" i="174"/>
  <c r="G72" i="174"/>
  <c r="G68" i="174"/>
  <c r="G64" i="174"/>
  <c r="G60" i="174"/>
  <c r="G40" i="174"/>
  <c r="G93" i="173"/>
  <c r="G89" i="173"/>
  <c r="G84" i="173"/>
  <c r="G91" i="173"/>
  <c r="G69" i="173"/>
  <c r="G68" i="173"/>
  <c r="G75" i="173"/>
  <c r="G71" i="173"/>
  <c r="E52" i="173"/>
  <c r="D44" i="173"/>
  <c r="G85" i="173"/>
  <c r="D61" i="173"/>
  <c r="G70" i="173"/>
  <c r="D49" i="173"/>
  <c r="F56" i="173"/>
  <c r="G90" i="173"/>
  <c r="G98" i="173"/>
  <c r="G88" i="173"/>
  <c r="D60" i="173"/>
  <c r="G83" i="173"/>
  <c r="F60" i="173"/>
  <c r="D45" i="173"/>
  <c r="F40" i="173"/>
  <c r="G78" i="173"/>
  <c r="G86" i="173"/>
  <c r="G67" i="173"/>
  <c r="G87" i="173"/>
  <c r="G72" i="173"/>
  <c r="G79" i="173"/>
  <c r="G66" i="173"/>
  <c r="G95" i="173"/>
  <c r="F49" i="173"/>
  <c r="D48" i="173"/>
  <c r="D46" i="173"/>
  <c r="D62" i="173"/>
  <c r="G82" i="173"/>
  <c r="G94" i="173"/>
  <c r="E49" i="173"/>
  <c r="E48" i="173"/>
  <c r="F53" i="173"/>
  <c r="D50" i="173"/>
  <c r="G97" i="173"/>
  <c r="G81" i="173"/>
  <c r="G65" i="173"/>
  <c r="G92" i="173"/>
  <c r="G76" i="173"/>
  <c r="G96" i="173"/>
  <c r="G80" i="173"/>
  <c r="G64" i="173"/>
  <c r="E3" i="173"/>
  <c r="F59" i="173"/>
  <c r="F58" i="173"/>
  <c r="F57" i="173"/>
  <c r="E56" i="173"/>
  <c r="E55" i="173"/>
  <c r="E54" i="173"/>
  <c r="D53" i="173"/>
  <c r="D52" i="173"/>
  <c r="D51" i="173"/>
  <c r="F43" i="173"/>
  <c r="F42" i="173"/>
  <c r="F41" i="173"/>
  <c r="F62" i="173"/>
  <c r="E58" i="173"/>
  <c r="F45" i="173"/>
  <c r="D41" i="173"/>
  <c r="G41" i="173" s="1"/>
  <c r="F61" i="173"/>
  <c r="D57" i="173"/>
  <c r="E44" i="173"/>
  <c r="E60" i="173"/>
  <c r="D56" i="173"/>
  <c r="F47" i="173"/>
  <c r="E43" i="173"/>
  <c r="D40" i="173"/>
  <c r="F63" i="173"/>
  <c r="E59" i="173"/>
  <c r="D55" i="173"/>
  <c r="F46" i="173"/>
  <c r="E63" i="173"/>
  <c r="D59" i="173"/>
  <c r="F51" i="173"/>
  <c r="E47" i="173"/>
  <c r="D43" i="173"/>
  <c r="D63" i="173"/>
  <c r="F55" i="173"/>
  <c r="E51" i="173"/>
  <c r="D47" i="173"/>
  <c r="D42" i="173"/>
  <c r="F52" i="173"/>
  <c r="D58" i="173"/>
  <c r="E57" i="173"/>
  <c r="E62" i="173"/>
  <c r="F50" i="173"/>
  <c r="G50" i="173" s="1"/>
  <c r="E46" i="173"/>
  <c r="F54" i="173"/>
  <c r="E50" i="173"/>
  <c r="F48" i="173"/>
  <c r="D54" i="173"/>
  <c r="E45" i="173"/>
  <c r="E61" i="173"/>
  <c r="G39" i="164"/>
  <c r="G43" i="174" l="1"/>
  <c r="G53" i="174"/>
  <c r="G41" i="174"/>
  <c r="G54" i="174"/>
  <c r="G57" i="174"/>
  <c r="G55" i="174"/>
  <c r="E100" i="174"/>
  <c r="G56" i="174"/>
  <c r="G42" i="174"/>
  <c r="G44" i="174"/>
  <c r="G60" i="173"/>
  <c r="G46" i="174"/>
  <c r="D100" i="174"/>
  <c r="F100" i="174"/>
  <c r="G50" i="174"/>
  <c r="G51" i="174"/>
  <c r="G44" i="173"/>
  <c r="G62" i="173"/>
  <c r="G48" i="173"/>
  <c r="E100" i="173"/>
  <c r="G45" i="173"/>
  <c r="G53" i="173"/>
  <c r="G49" i="173"/>
  <c r="G61" i="173"/>
  <c r="G63" i="173"/>
  <c r="G59" i="173"/>
  <c r="G54" i="173"/>
  <c r="G46" i="173"/>
  <c r="G58" i="173"/>
  <c r="F100" i="173"/>
  <c r="G52" i="173"/>
  <c r="D100" i="173"/>
  <c r="G40" i="173"/>
  <c r="F3" i="173"/>
  <c r="E23" i="173"/>
  <c r="G55" i="173"/>
  <c r="G42" i="173"/>
  <c r="G57" i="173"/>
  <c r="G47" i="173"/>
  <c r="G43" i="173"/>
  <c r="G56" i="173"/>
  <c r="G51" i="173"/>
  <c r="G4" i="165"/>
  <c r="G100" i="174" l="1"/>
  <c r="F24" i="174" s="1"/>
  <c r="F26" i="174" s="1"/>
  <c r="F28" i="174"/>
  <c r="G100" i="173"/>
  <c r="F24" i="173" s="1"/>
  <c r="F26" i="173" s="1"/>
  <c r="F28" i="173"/>
  <c r="G2" i="164"/>
  <c r="B28" i="164"/>
  <c r="B26" i="164"/>
  <c r="B24" i="164"/>
  <c r="B11" i="164"/>
  <c r="F17" i="164" l="1"/>
  <c r="M4" i="165"/>
  <c r="L7" i="164"/>
  <c r="H3" i="164" l="1"/>
  <c r="F2" i="164"/>
  <c r="F21" i="164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G3" i="164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64" i="164" l="1"/>
  <c r="F68" i="164"/>
  <c r="F72" i="164"/>
  <c r="F76" i="164"/>
  <c r="F80" i="164"/>
  <c r="F84" i="164"/>
  <c r="F88" i="164"/>
  <c r="F92" i="164"/>
  <c r="F96" i="164"/>
  <c r="F65" i="164"/>
  <c r="F69" i="164"/>
  <c r="F73" i="164"/>
  <c r="F77" i="164"/>
  <c r="F81" i="164"/>
  <c r="F85" i="164"/>
  <c r="F89" i="164"/>
  <c r="F93" i="164"/>
  <c r="F97" i="164"/>
  <c r="F66" i="164"/>
  <c r="F70" i="164"/>
  <c r="F74" i="164"/>
  <c r="F78" i="164"/>
  <c r="F82" i="164"/>
  <c r="F86" i="164"/>
  <c r="F90" i="164"/>
  <c r="F94" i="164"/>
  <c r="F98" i="164"/>
  <c r="F67" i="164"/>
  <c r="F71" i="164"/>
  <c r="F75" i="164"/>
  <c r="F79" i="164"/>
  <c r="F83" i="164"/>
  <c r="F87" i="164"/>
  <c r="F91" i="164"/>
  <c r="F95" i="164"/>
  <c r="F99" i="164"/>
  <c r="F22" i="16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75" i="164"/>
  <c r="E89" i="164"/>
  <c r="E92" i="164"/>
  <c r="E84" i="164"/>
  <c r="E64" i="164"/>
  <c r="D59" i="164" l="1"/>
  <c r="F43" i="164"/>
  <c r="F47" i="164"/>
  <c r="F51" i="164"/>
  <c r="F55" i="164"/>
  <c r="F59" i="164"/>
  <c r="F63" i="164"/>
  <c r="F44" i="164"/>
  <c r="F48" i="164"/>
  <c r="F52" i="164"/>
  <c r="F56" i="164"/>
  <c r="F60" i="164"/>
  <c r="F40" i="164"/>
  <c r="F41" i="164"/>
  <c r="F45" i="164"/>
  <c r="F49" i="164"/>
  <c r="F53" i="164"/>
  <c r="F57" i="164"/>
  <c r="F61" i="164"/>
  <c r="F42" i="164"/>
  <c r="F46" i="164"/>
  <c r="F50" i="164"/>
  <c r="F54" i="164"/>
  <c r="F58" i="164"/>
  <c r="F62" i="164"/>
  <c r="E71" i="164"/>
  <c r="E44" i="164"/>
  <c r="E82" i="164"/>
  <c r="E87" i="164"/>
  <c r="E86" i="164"/>
  <c r="E77" i="164"/>
  <c r="D87" i="164"/>
  <c r="D83" i="164"/>
  <c r="G83" i="164" s="1"/>
  <c r="D79" i="164"/>
  <c r="G79" i="164" s="1"/>
  <c r="D75" i="164"/>
  <c r="G75" i="164" s="1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G64" i="164" s="1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E3" i="164"/>
  <c r="F3" i="164" s="1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 l="1"/>
  <c r="G71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<sst xmlns="http://schemas.openxmlformats.org/spreadsheetml/2006/main" count="201" uniqueCount="163">
  <si>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</si>
  <si>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</si>
  <si>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</si>
  <si>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</si>
  <si>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</si>
  <si>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</si>
  <si>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</si>
  <si>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</si>
  <si>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</si>
  <si>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</si>
  <si>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</si>
  <si>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</si>
  <si>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</si>
  <si>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</si>
  <si>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</si>
  <si>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</si>
  <si>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</si>
  <si>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</si>
  <si>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</si>
  <si>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</si>
  <si>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</si>
  <si>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</si>
  <si>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</si>
  <si>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</si>
  <si>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</si>
  <si>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</si>
  <si>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</si>
  <si>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</si>
  <si>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</si>
  <si>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</si>
  <si>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</si>
  <si>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</si>
  <si>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</si>
  <si>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</si>
  <si>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</si>
  <si>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</si>
  <si>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</si>
  <si>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</si>
  <si>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</si>
  <si>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</si>
  <si>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</si>
  <si>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</si>
  <si>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</si>
  <si>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</si>
  <si>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</si>
  <si>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</si>
  <si>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</si>
  <si>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</si>
  <si>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</si>
  <si>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</si>
  <si>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</si>
  <si>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</si>
  <si>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</si>
  <si>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</si>
  <si>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</si>
  <si>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</si>
  <si>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</si>
  <si>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</si>
  <si>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</si>
  <si>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</si>
  <si>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</si>
  <si>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</si>
  <si>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</si>
  <si>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</si>
  <si>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</si>
  <si>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</si>
  <si>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</si>
  <si>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</si>
  <si>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</si>
  <si>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</si>
  <si>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</si>
  <si>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</si>
  <si>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</si>
  <si>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</si>
  <si>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</si>
  <si>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</si>
  <si>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</si>
  <si>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</si>
  <si>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</si>
  <si>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</si>
  <si>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</si>
  <si>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</si>
  <si>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</si>
  <si>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</si>
  <si>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</si>
  <si>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</si>
  <si>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</si>
  <si>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</si>
  <si>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</si>
  <si>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</si>
  <si>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</si>
  <si>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</si>
  <si>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</si>
  <si>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</si>
  <si>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</si>
  <si>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</si>
  <si>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</si>
  <si>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</si>
  <si>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</si>
  <si>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</si>
  <si>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</si>
  <si>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</si>
  <si>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</si>
  <si>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</si>
  <si>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</si>
  <si>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</si>
  <si>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</si>
  <si>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</si>
  <si>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</si>
  <si>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</si>
  <si>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</si>
  <si>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</si>
  <si>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</si>
  <si>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</si>
  <si>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</si>
  <si>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</si>
  <si>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</si>
  <si>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</si>
  <si>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</si>
  <si>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</si>
  <si>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</si>
  <si>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</si>
  <si>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</si>
  <si>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</si>
  <si>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</si>
  <si>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</si>
  <si>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</si>
  <si>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</si>
  <si>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</si>
  <si>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</si>
  <si>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</si>
  <si>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</si>
  <si>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</si>
  <si>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</si>
  <si>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</si>
  <si>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</si>
  <si>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</si>
  <si>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</si>
  <si>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</si>
  <si>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</si>
  <si>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</si>
  <si>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</si>
  <si>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</si>
  <si>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</si>
  <si>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</si>
  <si>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</si>
  <si>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</si>
  <si>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</si>
  <si>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</si>
  <si>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</si>
  <si>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</si>
  <si>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</si>
  <si>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</si>
  <si>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</si>
  <si>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</si>
  <si>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</si>
  <si>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</si>
  <si>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</si>
  <si>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</si>
  <si>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</si>
  <si>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Satellite_Грейс_3_24міс.</t>
  </si>
  <si>
    <t>Satellite_Грейс_10_24міс.</t>
  </si>
  <si>
    <t>Satellite_Грейс_6_18міс.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</si>
</sst>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60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2" fontId="0" fillId="10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ideabank.com.ua/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ideabank.com.u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24848</xdr:rowOff>
    </xdr:from>
    <xdr:to>
      <xdr:col>4</xdr:col>
      <xdr:colOff>24848</xdr:colOff>
      <xdr:row>3</xdr:row>
      <xdr:rowOff>107674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24848"/>
          <a:ext cx="2352261" cy="596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16566</xdr:colOff>
      <xdr:row>0</xdr:row>
      <xdr:rowOff>24848</xdr:rowOff>
    </xdr:from>
    <xdr:to>
      <xdr:col>3</xdr:col>
      <xdr:colOff>985631</xdr:colOff>
      <xdr:row>4</xdr:row>
      <xdr:rowOff>8283</xdr:rowOff>
    </xdr:to>
    <xdr:pic>
      <xdr:nvPicPr>
        <xdr:cNvPr id="3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6477E257-FD57-4BBE-B91C-A7F196470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566" y="24848"/>
          <a:ext cx="2377108" cy="61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24848</xdr:colOff>
      <xdr:row>0</xdr:row>
      <xdr:rowOff>16566</xdr:rowOff>
    </xdr:from>
    <xdr:to>
      <xdr:col>3</xdr:col>
      <xdr:colOff>985630</xdr:colOff>
      <xdr:row>3</xdr:row>
      <xdr:rowOff>107674</xdr:rowOff>
    </xdr:to>
    <xdr:pic>
      <xdr:nvPicPr>
        <xdr:cNvPr id="3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8299DDD6-266A-42E5-9AC6-46D173FA1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848" y="16566"/>
          <a:ext cx="2368825" cy="604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view="pageBreakPreview" zoomScale="115" zoomScaleNormal="70" zoomScaleSheetLayoutView="115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20.28515625" customWidth="1"/>
    <col min="10" max="10" width="17.28515625" style="3" hidden="1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21.7109375" style="97" customWidth="1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4" t="s">
        <v>48</v>
      </c>
      <c r="I1" s="214"/>
    </row>
    <row r="2" spans="1:45" ht="12.75" customHeight="1" x14ac:dyDescent="0.2">
      <c r="A2" s="2"/>
      <c r="B2" s="88"/>
      <c r="C2" s="88"/>
      <c r="D2" s="88"/>
      <c r="E2" s="109">
        <f>VLOOKUP('Satellite_0-3-24'!H2,Лист2!A:P,16,FALSE)</f>
        <v>1000</v>
      </c>
      <c r="F2" s="132">
        <f>VLOOKUP(H$2,Лист2!$A:$H,8,0)</f>
        <v>50000</v>
      </c>
      <c r="G2" s="177">
        <f ca="1">TODAY()</f>
        <v>45859</v>
      </c>
      <c r="H2" s="220" t="s">
        <v>160</v>
      </c>
      <c r="I2" s="221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40600</v>
      </c>
      <c r="F3" s="222" t="str">
        <f>IF(E3="x","Збільшіть суму",IF(E3="y","Зменшіть суму",""))</f>
        <v/>
      </c>
      <c r="G3" s="133">
        <f>Назви!B32</f>
        <v>30.4</v>
      </c>
      <c r="H3" s="224">
        <f>VLOOKUP(H$2,Лист2!$A:$H,8,0)</f>
        <v>50000</v>
      </c>
      <c r="I3" s="225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3"/>
      <c r="G4" s="112"/>
      <c r="H4" s="162"/>
      <c r="I4" s="120"/>
      <c r="J4" s="35"/>
      <c r="AA4" s="51"/>
    </row>
    <row r="5" spans="1:45" ht="21" thickBot="1" x14ac:dyDescent="0.25">
      <c r="A5" s="1"/>
      <c r="B5" s="226" t="s">
        <v>42</v>
      </c>
      <c r="C5" s="227"/>
      <c r="D5" s="227"/>
      <c r="E5" s="228"/>
      <c r="F5" s="161">
        <v>40000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9"/>
      <c r="B6" s="189"/>
      <c r="C6" s="189"/>
      <c r="D6" s="189"/>
      <c r="E6" s="189"/>
      <c r="F6" s="189"/>
      <c r="G6" s="189"/>
      <c r="H6" s="189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7" t="s">
        <v>43</v>
      </c>
      <c r="C7" s="218"/>
      <c r="D7" s="218"/>
      <c r="E7" s="219"/>
      <c r="F7" s="163">
        <f>F5+F5*F11+F15+F5*F17</f>
        <v>40600</v>
      </c>
      <c r="G7" s="164"/>
      <c r="H7" s="165"/>
      <c r="I7" s="42"/>
      <c r="J7" s="4"/>
      <c r="K7" s="37"/>
      <c r="L7" s="51" t="str">
        <f>Лист2!A4</f>
        <v>Satellite_Грейс_3_24міс.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5"/>
      <c r="B8" s="215"/>
      <c r="C8" s="215"/>
      <c r="D8" s="215"/>
      <c r="E8" s="215"/>
      <c r="F8" s="189"/>
      <c r="G8" s="215"/>
      <c r="H8" s="215"/>
      <c r="I8" s="215"/>
      <c r="J8" s="4"/>
      <c r="K8" s="37"/>
      <c r="L8" s="5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9" t="str">
        <f>Назви!A3</f>
        <v>Процентна ставка, % річних</v>
      </c>
      <c r="C9" s="230">
        <f>Назви!B3</f>
        <v>0</v>
      </c>
      <c r="D9" s="230">
        <f>Назви!C3</f>
        <v>0</v>
      </c>
      <c r="E9" s="230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8" t="str">
        <f>Назви!A5</f>
        <v>Разовий страховий тариф, %</v>
      </c>
      <c r="C11" s="197">
        <f>Назви!B5</f>
        <v>0</v>
      </c>
      <c r="D11" s="197">
        <f>Назви!C5</f>
        <v>0</v>
      </c>
      <c r="E11" s="197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51"/>
      <c r="K12" s="37"/>
      <c r="L12" s="51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7" t="s">
        <v>41</v>
      </c>
      <c r="C13" s="187"/>
      <c r="D13" s="187"/>
      <c r="E13" s="188"/>
      <c r="F13" s="140">
        <f>VLOOKUP(H$2,Лист2!$A:$J,9,0)</f>
        <v>3</v>
      </c>
      <c r="G13" s="175"/>
      <c r="H13" s="173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6"/>
      <c r="B14" s="216"/>
      <c r="C14" s="216"/>
      <c r="D14" s="216"/>
      <c r="E14" s="216"/>
      <c r="F14" s="216"/>
      <c r="G14" s="216"/>
      <c r="H14" s="216"/>
      <c r="I14" s="216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7" t="s">
        <v>39</v>
      </c>
      <c r="C15" s="187"/>
      <c r="D15" s="187"/>
      <c r="E15" s="188"/>
      <c r="F15" s="156">
        <f>VLOOKUP(H$2,Лист2!$A:$J,10,0)</f>
        <v>600</v>
      </c>
      <c r="G15" s="175"/>
      <c r="H15" s="173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9"/>
      <c r="B16" s="189"/>
      <c r="C16" s="189"/>
      <c r="D16" s="189"/>
      <c r="E16" s="189"/>
      <c r="F16" s="189"/>
      <c r="G16" s="189"/>
      <c r="H16" s="189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7" t="s">
        <v>40</v>
      </c>
      <c r="C17" s="187"/>
      <c r="D17" s="187"/>
      <c r="E17" s="187"/>
      <c r="F17" s="134">
        <f>VLOOKUP(H$2,Лист2!$A:$K,11,0)</f>
        <v>0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9"/>
      <c r="B18" s="189"/>
      <c r="C18" s="189"/>
      <c r="D18" s="189"/>
      <c r="E18" s="189"/>
      <c r="F18" s="189"/>
      <c r="G18" s="189"/>
      <c r="H18" s="189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8" t="str">
        <f>Назви!A7</f>
        <v xml:space="preserve">Щомісячна плата за обслуговування кредитної заборгованості, % </v>
      </c>
      <c r="C19" s="197">
        <f>Назви!B7</f>
        <v>0</v>
      </c>
      <c r="D19" s="197">
        <f>Назви!C7</f>
        <v>0</v>
      </c>
      <c r="E19" s="198">
        <f>Назви!D7</f>
        <v>0</v>
      </c>
      <c r="F19" s="134">
        <f>VLOOKUP(H$2,Лист2!$A:$G,6,0)</f>
        <v>4.99E-2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8" t="str">
        <f>Назви!A9</f>
        <v>Термін кредитування (міс.)</v>
      </c>
      <c r="C21" s="197">
        <f>Назви!B9</f>
        <v>0</v>
      </c>
      <c r="D21" s="197">
        <f>Назви!C9</f>
        <v>0</v>
      </c>
      <c r="E21" s="198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40600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2" t="str">
        <f>Назви!A14</f>
        <v>Орієнтовні загальні витрати за кредитом, грн.</v>
      </c>
      <c r="C24" s="193"/>
      <c r="D24" s="193"/>
      <c r="E24" s="193"/>
      <c r="F24" s="160">
        <f>G100-F5</f>
        <v>43152.860000000015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2" t="str">
        <f>Назви!A16</f>
        <v>Орієнтовна загальна вартість кредиту, грн.</v>
      </c>
      <c r="C26" s="193">
        <f>Назви!B14</f>
        <v>0</v>
      </c>
      <c r="D26" s="193">
        <f>Назви!C14</f>
        <v>0</v>
      </c>
      <c r="E26" s="194">
        <f>Назви!D14</f>
        <v>0</v>
      </c>
      <c r="F26" s="144">
        <f>F5+F24</f>
        <v>83152.860000000015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2" t="str">
        <f>Назви!A18</f>
        <v>Реальна річна процентна ставка, %</v>
      </c>
      <c r="C28" s="193">
        <f>Назви!B16</f>
        <v>0</v>
      </c>
      <c r="D28" s="193">
        <f>Назви!C16</f>
        <v>0</v>
      </c>
      <c r="E28" s="194">
        <f>Назви!D16</f>
        <v>0</v>
      </c>
      <c r="F28" s="147">
        <f ca="1">XIRR(G39:G87,C39:C87)</f>
        <v>1.0786111235618592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5" t="str">
        <f>Назви!A19</f>
        <v>Інший термін</v>
      </c>
      <c r="C30" s="196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90" t="s">
        <v>32</v>
      </c>
      <c r="C31" s="191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90" t="s">
        <v>33</v>
      </c>
      <c r="C32" s="191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90" t="s">
        <v>9</v>
      </c>
      <c r="C33" s="191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90"/>
      <c r="C34" s="191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00" t="str">
        <f>Назви!A26</f>
        <v xml:space="preserve">ГРАФІК СПЛАТИ КРЕДИТУ </v>
      </c>
      <c r="C37" s="201"/>
      <c r="D37" s="201"/>
      <c r="E37" s="201"/>
      <c r="F37" s="201"/>
      <c r="G37" s="201"/>
      <c r="H37" s="202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3" t="str">
        <f>Назви!A27</f>
        <v>Місяць</v>
      </c>
      <c r="C38" s="204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3" t="str">
        <f>Назви!F27</f>
        <v>Загальна сума внесків до повернення в місяць, грн.</v>
      </c>
      <c r="H38" s="204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5" hidden="1" thickBot="1" x14ac:dyDescent="0.25">
      <c r="A39" s="1"/>
      <c r="B39" s="90">
        <v>0</v>
      </c>
      <c r="C39" s="159">
        <f ca="1">TODAY()</f>
        <v>45859</v>
      </c>
      <c r="D39" s="91"/>
      <c r="E39" s="92"/>
      <c r="F39" s="91"/>
      <c r="G39" s="158">
        <f>-F5</f>
        <v>-40000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45890</v>
      </c>
      <c r="D40" s="19">
        <f>IF(B40&lt;=$F$21,$F$7/$F$21,0)</f>
        <v>1691.6666666666667</v>
      </c>
      <c r="E40" s="20">
        <f>IF(AND(B40&gt;F$13,B40&lt;=$F$21),F$7*F$19,0)</f>
        <v>0</v>
      </c>
      <c r="F40" s="182">
        <f>IF(B40&lt;=$F$21,F$7*F$9/12,0)</f>
        <v>0.33833333333333337</v>
      </c>
      <c r="G40" s="199">
        <f t="shared" ref="G40:G71" si="0">IF(B$40&lt;=F$21,D40+E40+F40,0)</f>
        <v>1692.0050000000001</v>
      </c>
      <c r="H40" s="199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45921</v>
      </c>
      <c r="D41" s="19">
        <f t="shared" ref="D41:D87" si="2">IF(B41&lt;=$F$21,$F$7/$F$21,0)</f>
        <v>1691.6666666666667</v>
      </c>
      <c r="E41" s="20">
        <f t="shared" ref="E41:E99" si="3">IF(AND(B41&gt;F$13,B41&lt;=$F$21),F$7*F$19,0)</f>
        <v>0</v>
      </c>
      <c r="F41" s="182">
        <f t="shared" ref="F41:F99" si="4">IF(B41&lt;=$F$21,F$7*F$9/12,0)</f>
        <v>0.33833333333333337</v>
      </c>
      <c r="G41" s="199">
        <f t="shared" si="0"/>
        <v>1692.0050000000001</v>
      </c>
      <c r="H41" s="199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45951</v>
      </c>
      <c r="D42" s="19">
        <f t="shared" si="2"/>
        <v>1691.6666666666667</v>
      </c>
      <c r="E42" s="20">
        <f t="shared" si="3"/>
        <v>0</v>
      </c>
      <c r="F42" s="182">
        <f t="shared" si="4"/>
        <v>0.33833333333333337</v>
      </c>
      <c r="G42" s="199">
        <f t="shared" si="0"/>
        <v>1692.0050000000001</v>
      </c>
      <c r="H42" s="199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45982</v>
      </c>
      <c r="D43" s="19">
        <f t="shared" si="2"/>
        <v>1691.6666666666667</v>
      </c>
      <c r="E43" s="20">
        <f t="shared" si="3"/>
        <v>2025.94</v>
      </c>
      <c r="F43" s="182">
        <f t="shared" si="4"/>
        <v>0.33833333333333337</v>
      </c>
      <c r="G43" s="199">
        <f t="shared" si="0"/>
        <v>3717.9449999999997</v>
      </c>
      <c r="H43" s="199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46012</v>
      </c>
      <c r="D44" s="19">
        <f t="shared" si="2"/>
        <v>1691.6666666666667</v>
      </c>
      <c r="E44" s="20">
        <f t="shared" si="3"/>
        <v>2025.94</v>
      </c>
      <c r="F44" s="182">
        <f t="shared" si="4"/>
        <v>0.33833333333333337</v>
      </c>
      <c r="G44" s="199">
        <f t="shared" si="0"/>
        <v>3717.9449999999997</v>
      </c>
      <c r="H44" s="199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46043</v>
      </c>
      <c r="D45" s="19">
        <f t="shared" si="2"/>
        <v>1691.6666666666667</v>
      </c>
      <c r="E45" s="20">
        <f t="shared" si="3"/>
        <v>2025.94</v>
      </c>
      <c r="F45" s="182">
        <f t="shared" si="4"/>
        <v>0.33833333333333337</v>
      </c>
      <c r="G45" s="199">
        <f t="shared" si="0"/>
        <v>3717.9449999999997</v>
      </c>
      <c r="H45" s="199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46074</v>
      </c>
      <c r="D46" s="19">
        <f t="shared" si="2"/>
        <v>1691.6666666666667</v>
      </c>
      <c r="E46" s="20">
        <f t="shared" si="3"/>
        <v>2025.94</v>
      </c>
      <c r="F46" s="182">
        <f t="shared" si="4"/>
        <v>0.33833333333333337</v>
      </c>
      <c r="G46" s="199">
        <f t="shared" si="0"/>
        <v>3717.9449999999997</v>
      </c>
      <c r="H46" s="199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46102</v>
      </c>
      <c r="D47" s="19">
        <f t="shared" si="2"/>
        <v>1691.6666666666667</v>
      </c>
      <c r="E47" s="20">
        <f t="shared" si="3"/>
        <v>2025.94</v>
      </c>
      <c r="F47" s="182">
        <f t="shared" si="4"/>
        <v>0.33833333333333337</v>
      </c>
      <c r="G47" s="199">
        <f t="shared" si="0"/>
        <v>3717.9449999999997</v>
      </c>
      <c r="H47" s="199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46133</v>
      </c>
      <c r="D48" s="19">
        <f t="shared" si="2"/>
        <v>1691.6666666666667</v>
      </c>
      <c r="E48" s="20">
        <f t="shared" si="3"/>
        <v>2025.94</v>
      </c>
      <c r="F48" s="182">
        <f t="shared" si="4"/>
        <v>0.33833333333333337</v>
      </c>
      <c r="G48" s="199">
        <f t="shared" si="0"/>
        <v>3717.9449999999997</v>
      </c>
      <c r="H48" s="199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46163</v>
      </c>
      <c r="D49" s="19">
        <f t="shared" si="2"/>
        <v>1691.6666666666667</v>
      </c>
      <c r="E49" s="20">
        <f t="shared" si="3"/>
        <v>2025.94</v>
      </c>
      <c r="F49" s="182">
        <f t="shared" si="4"/>
        <v>0.33833333333333337</v>
      </c>
      <c r="G49" s="199">
        <f t="shared" si="0"/>
        <v>3717.9449999999997</v>
      </c>
      <c r="H49" s="199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46194</v>
      </c>
      <c r="D50" s="19">
        <f t="shared" si="2"/>
        <v>1691.6666666666667</v>
      </c>
      <c r="E50" s="20">
        <f t="shared" si="3"/>
        <v>2025.94</v>
      </c>
      <c r="F50" s="182">
        <f t="shared" si="4"/>
        <v>0.33833333333333337</v>
      </c>
      <c r="G50" s="199">
        <f t="shared" si="0"/>
        <v>3717.9449999999997</v>
      </c>
      <c r="H50" s="199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46224</v>
      </c>
      <c r="D51" s="19">
        <f t="shared" si="2"/>
        <v>1691.6666666666667</v>
      </c>
      <c r="E51" s="20">
        <f t="shared" si="3"/>
        <v>2025.94</v>
      </c>
      <c r="F51" s="182">
        <f t="shared" si="4"/>
        <v>0.33833333333333337</v>
      </c>
      <c r="G51" s="199">
        <f t="shared" si="0"/>
        <v>3717.9449999999997</v>
      </c>
      <c r="H51" s="199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46255</v>
      </c>
      <c r="D52" s="19">
        <f t="shared" si="2"/>
        <v>1691.6666666666667</v>
      </c>
      <c r="E52" s="20">
        <f t="shared" si="3"/>
        <v>2025.94</v>
      </c>
      <c r="F52" s="182">
        <f t="shared" si="4"/>
        <v>0.33833333333333337</v>
      </c>
      <c r="G52" s="199">
        <f t="shared" si="0"/>
        <v>3717.9449999999997</v>
      </c>
      <c r="H52" s="199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46286</v>
      </c>
      <c r="D53" s="19">
        <f t="shared" si="2"/>
        <v>1691.6666666666667</v>
      </c>
      <c r="E53" s="20">
        <f t="shared" si="3"/>
        <v>2025.94</v>
      </c>
      <c r="F53" s="182">
        <f t="shared" si="4"/>
        <v>0.33833333333333337</v>
      </c>
      <c r="G53" s="199">
        <f t="shared" si="0"/>
        <v>3717.9449999999997</v>
      </c>
      <c r="H53" s="199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46316</v>
      </c>
      <c r="D54" s="19">
        <f t="shared" si="2"/>
        <v>1691.6666666666667</v>
      </c>
      <c r="E54" s="20">
        <f t="shared" si="3"/>
        <v>2025.94</v>
      </c>
      <c r="F54" s="182">
        <f t="shared" si="4"/>
        <v>0.33833333333333337</v>
      </c>
      <c r="G54" s="199">
        <f t="shared" si="0"/>
        <v>3717.9449999999997</v>
      </c>
      <c r="H54" s="199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46347</v>
      </c>
      <c r="D55" s="19">
        <f t="shared" si="2"/>
        <v>1691.6666666666667</v>
      </c>
      <c r="E55" s="20">
        <f t="shared" si="3"/>
        <v>2025.94</v>
      </c>
      <c r="F55" s="182">
        <f t="shared" si="4"/>
        <v>0.33833333333333337</v>
      </c>
      <c r="G55" s="199">
        <f t="shared" si="0"/>
        <v>3717.9449999999997</v>
      </c>
      <c r="H55" s="199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46377</v>
      </c>
      <c r="D56" s="19">
        <f t="shared" si="2"/>
        <v>1691.6666666666667</v>
      </c>
      <c r="E56" s="20">
        <f t="shared" si="3"/>
        <v>2025.94</v>
      </c>
      <c r="F56" s="182">
        <f t="shared" si="4"/>
        <v>0.33833333333333337</v>
      </c>
      <c r="G56" s="199">
        <f t="shared" si="0"/>
        <v>3717.9449999999997</v>
      </c>
      <c r="H56" s="199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46408</v>
      </c>
      <c r="D57" s="19">
        <f t="shared" si="2"/>
        <v>1691.6666666666667</v>
      </c>
      <c r="E57" s="20">
        <f t="shared" si="3"/>
        <v>2025.94</v>
      </c>
      <c r="F57" s="182">
        <f t="shared" si="4"/>
        <v>0.33833333333333337</v>
      </c>
      <c r="G57" s="199">
        <f t="shared" si="0"/>
        <v>3717.9449999999997</v>
      </c>
      <c r="H57" s="199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46439</v>
      </c>
      <c r="D58" s="19">
        <f t="shared" si="2"/>
        <v>1691.6666666666667</v>
      </c>
      <c r="E58" s="20">
        <f t="shared" si="3"/>
        <v>2025.94</v>
      </c>
      <c r="F58" s="182">
        <f t="shared" si="4"/>
        <v>0.33833333333333337</v>
      </c>
      <c r="G58" s="199">
        <f t="shared" si="0"/>
        <v>3717.9449999999997</v>
      </c>
      <c r="H58" s="199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46467</v>
      </c>
      <c r="D59" s="19">
        <f t="shared" si="2"/>
        <v>1691.6666666666667</v>
      </c>
      <c r="E59" s="20">
        <f t="shared" si="3"/>
        <v>2025.94</v>
      </c>
      <c r="F59" s="182">
        <f t="shared" si="4"/>
        <v>0.33833333333333337</v>
      </c>
      <c r="G59" s="199">
        <f t="shared" si="0"/>
        <v>3717.9449999999997</v>
      </c>
      <c r="H59" s="199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46498</v>
      </c>
      <c r="D60" s="19">
        <f t="shared" si="2"/>
        <v>1691.6666666666667</v>
      </c>
      <c r="E60" s="20">
        <f t="shared" si="3"/>
        <v>2025.94</v>
      </c>
      <c r="F60" s="182">
        <f t="shared" si="4"/>
        <v>0.33833333333333337</v>
      </c>
      <c r="G60" s="199">
        <f t="shared" si="0"/>
        <v>3717.9449999999997</v>
      </c>
      <c r="H60" s="199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46528</v>
      </c>
      <c r="D61" s="19">
        <f t="shared" si="2"/>
        <v>1691.6666666666667</v>
      </c>
      <c r="E61" s="20">
        <f t="shared" si="3"/>
        <v>2025.94</v>
      </c>
      <c r="F61" s="182">
        <f t="shared" si="4"/>
        <v>0.33833333333333337</v>
      </c>
      <c r="G61" s="199">
        <f t="shared" si="0"/>
        <v>3717.9449999999997</v>
      </c>
      <c r="H61" s="199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46559</v>
      </c>
      <c r="D62" s="19">
        <f t="shared" si="2"/>
        <v>1691.6666666666667</v>
      </c>
      <c r="E62" s="20">
        <f t="shared" si="3"/>
        <v>2025.94</v>
      </c>
      <c r="F62" s="182">
        <f t="shared" si="4"/>
        <v>0.33833333333333337</v>
      </c>
      <c r="G62" s="199">
        <f t="shared" si="0"/>
        <v>3717.9449999999997</v>
      </c>
      <c r="H62" s="199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46589</v>
      </c>
      <c r="D63" s="19">
        <f t="shared" si="2"/>
        <v>1691.6666666666667</v>
      </c>
      <c r="E63" s="20">
        <f t="shared" si="3"/>
        <v>2025.94</v>
      </c>
      <c r="F63" s="182">
        <f t="shared" si="4"/>
        <v>0.33833333333333337</v>
      </c>
      <c r="G63" s="199">
        <f t="shared" si="0"/>
        <v>3717.9449999999997</v>
      </c>
      <c r="H63" s="199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46620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199">
        <f t="shared" si="0"/>
        <v>0</v>
      </c>
      <c r="H64" s="199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46651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199">
        <f t="shared" si="0"/>
        <v>0</v>
      </c>
      <c r="H65" s="199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46681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199">
        <f t="shared" si="0"/>
        <v>0</v>
      </c>
      <c r="H66" s="199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46712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199">
        <f t="shared" si="0"/>
        <v>0</v>
      </c>
      <c r="H67" s="199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46742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199">
        <f t="shared" si="0"/>
        <v>0</v>
      </c>
      <c r="H68" s="199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46773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199">
        <f t="shared" si="0"/>
        <v>0</v>
      </c>
      <c r="H69" s="199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46804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199">
        <f t="shared" si="0"/>
        <v>0</v>
      </c>
      <c r="H70" s="199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46833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199">
        <f t="shared" si="0"/>
        <v>0</v>
      </c>
      <c r="H71" s="199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46864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199">
        <f t="shared" ref="G72:G99" si="5">IF(B$40&lt;=F$21,D72+E72+F72,0)</f>
        <v>0</v>
      </c>
      <c r="H72" s="199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46894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199">
        <f t="shared" si="5"/>
        <v>0</v>
      </c>
      <c r="H73" s="199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46925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199">
        <f t="shared" si="5"/>
        <v>0</v>
      </c>
      <c r="H74" s="199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46955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199">
        <f t="shared" si="5"/>
        <v>0</v>
      </c>
      <c r="H75" s="199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46986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199">
        <f t="shared" si="5"/>
        <v>0</v>
      </c>
      <c r="H76" s="199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47017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199">
        <f t="shared" si="5"/>
        <v>0</v>
      </c>
      <c r="H77" s="199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47047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199">
        <f t="shared" si="5"/>
        <v>0</v>
      </c>
      <c r="H78" s="199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47078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199">
        <f t="shared" si="5"/>
        <v>0</v>
      </c>
      <c r="H79" s="199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47108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199">
        <f t="shared" si="5"/>
        <v>0</v>
      </c>
      <c r="H80" s="199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47139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199">
        <f t="shared" si="5"/>
        <v>0</v>
      </c>
      <c r="H81" s="199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47170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199">
        <f t="shared" si="5"/>
        <v>0</v>
      </c>
      <c r="H82" s="199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47198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199">
        <f t="shared" si="5"/>
        <v>0</v>
      </c>
      <c r="H83" s="199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47229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199">
        <f t="shared" si="5"/>
        <v>0</v>
      </c>
      <c r="H84" s="199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47259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199">
        <f t="shared" si="5"/>
        <v>0</v>
      </c>
      <c r="H85" s="199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47290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199">
        <f t="shared" si="5"/>
        <v>0</v>
      </c>
      <c r="H86" s="199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47320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199">
        <f t="shared" si="5"/>
        <v>0</v>
      </c>
      <c r="H87" s="199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47351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07">
        <f t="shared" si="5"/>
        <v>0</v>
      </c>
      <c r="H88" s="208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47382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47412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47443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47473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47504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47535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47563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47594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47624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47655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47685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5" thickBot="1" x14ac:dyDescent="0.25">
      <c r="A100" s="43"/>
      <c r="B100" s="205" t="s">
        <v>1</v>
      </c>
      <c r="C100" s="206"/>
      <c r="D100" s="93">
        <f>SUM(D40:D99)</f>
        <v>40600</v>
      </c>
      <c r="E100" s="93">
        <f>SUM(E40:E99)</f>
        <v>42544.740000000005</v>
      </c>
      <c r="F100" s="99">
        <f>SUM(F40:F99)</f>
        <v>8.1199999999999957</v>
      </c>
      <c r="G100" s="212">
        <f>SUM(G40:H99)</f>
        <v>83152.860000000015</v>
      </c>
      <c r="H100" s="213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1" t="s">
        <v>6</v>
      </c>
      <c r="F102" s="211"/>
      <c r="G102" s="211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nfAjuNKS7dwEKlSE5QyQrTQysBW2ltYGaMfuo/ajAWLVEefWr+5Qw3jRSDnJZW9M6uMeLSUPg5Y2Aqe5KPUBvg==" saltValue="3Uh8sWqFGRDYKrOQBFe2nA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L7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CAD19-4385-4F62-A1ED-98AADAFFFDB3}">
  <dimension ref="A1:AS107"/>
  <sheetViews>
    <sheetView view="pageBreakPreview" zoomScale="115" zoomScaleNormal="70" zoomScaleSheetLayoutView="115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1.42578125" style="4" customWidth="1"/>
    <col min="4" max="4" width="15" style="4" bestFit="1" customWidth="1"/>
    <col min="5" max="5" width="31" style="4" customWidth="1"/>
    <col min="6" max="6" width="18.140625" style="4" customWidth="1"/>
    <col min="7" max="7" width="11.140625" style="34" customWidth="1"/>
    <col min="8" max="8" width="10.140625" style="28" customWidth="1"/>
    <col min="9" max="9" width="20.28515625" customWidth="1"/>
    <col min="10" max="10" width="17.28515625" style="3" hidden="1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21.7109375" style="97" customWidth="1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4" t="s">
        <v>48</v>
      </c>
      <c r="I1" s="214"/>
    </row>
    <row r="2" spans="1:45" ht="12.75" customHeight="1" x14ac:dyDescent="0.2">
      <c r="A2" s="2"/>
      <c r="B2" s="88"/>
      <c r="C2" s="88"/>
      <c r="D2" s="88"/>
      <c r="E2" s="109">
        <f>VLOOKUP('Satellite_0-10-24'!H2,Лист2!A:P,16,FALSE)</f>
        <v>1000</v>
      </c>
      <c r="F2" s="132">
        <f>VLOOKUP(H$2,Лист2!$A:$H,8,0)</f>
        <v>149999.997</v>
      </c>
      <c r="G2" s="177">
        <f ca="1">TODAY()</f>
        <v>45859</v>
      </c>
      <c r="H2" s="220" t="s">
        <v>161</v>
      </c>
      <c r="I2" s="221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57500</v>
      </c>
      <c r="F3" s="222" t="str">
        <f>IF(E3="x","Збільшіть суму",IF(E3="y","Зменшіть суму",""))</f>
        <v/>
      </c>
      <c r="G3" s="133">
        <f>Назви!B32</f>
        <v>30.4</v>
      </c>
      <c r="H3" s="224">
        <f>VLOOKUP(H$2,Лист2!$A:$H,8,0)</f>
        <v>149999.997</v>
      </c>
      <c r="I3" s="225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3"/>
      <c r="G4" s="112"/>
      <c r="H4" s="162"/>
      <c r="I4" s="120"/>
      <c r="J4" s="35"/>
      <c r="AA4" s="51"/>
    </row>
    <row r="5" spans="1:45" ht="21" thickBot="1" x14ac:dyDescent="0.25">
      <c r="A5" s="1"/>
      <c r="B5" s="226" t="s">
        <v>42</v>
      </c>
      <c r="C5" s="227"/>
      <c r="D5" s="227"/>
      <c r="E5" s="228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9"/>
      <c r="B6" s="189"/>
      <c r="C6" s="189"/>
      <c r="D6" s="189"/>
      <c r="E6" s="189"/>
      <c r="F6" s="189"/>
      <c r="G6" s="189"/>
      <c r="H6" s="189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7" t="s">
        <v>43</v>
      </c>
      <c r="C7" s="218"/>
      <c r="D7" s="218"/>
      <c r="E7" s="219"/>
      <c r="F7" s="163">
        <f>F5+F5*F11+F15+F5*F17</f>
        <v>57500</v>
      </c>
      <c r="G7" s="164"/>
      <c r="H7" s="165"/>
      <c r="I7" s="42"/>
      <c r="J7" s="4"/>
      <c r="K7" s="37"/>
      <c r="L7" s="5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5"/>
      <c r="B8" s="215"/>
      <c r="C8" s="215"/>
      <c r="D8" s="215"/>
      <c r="E8" s="215"/>
      <c r="F8" s="189"/>
      <c r="G8" s="215"/>
      <c r="H8" s="215"/>
      <c r="I8" s="215"/>
      <c r="J8" s="4"/>
      <c r="K8" s="37"/>
      <c r="L8" s="51" t="str">
        <f>Лист2!A5</f>
        <v>Satellite_Грейс_10_24міс.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9" t="str">
        <f>Назви!A3</f>
        <v>Процентна ставка, % річних</v>
      </c>
      <c r="C9" s="230">
        <f>Назви!B3</f>
        <v>0</v>
      </c>
      <c r="D9" s="230">
        <f>Назви!C3</f>
        <v>0</v>
      </c>
      <c r="E9" s="230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8" t="str">
        <f>Назви!A5</f>
        <v>Разовий страховий тариф, %</v>
      </c>
      <c r="C11" s="197">
        <f>Назви!B5</f>
        <v>0</v>
      </c>
      <c r="D11" s="197">
        <f>Назви!C5</f>
        <v>0</v>
      </c>
      <c r="E11" s="197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51"/>
      <c r="K12" s="37"/>
      <c r="L12" s="51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7" t="s">
        <v>41</v>
      </c>
      <c r="C13" s="187"/>
      <c r="D13" s="187"/>
      <c r="E13" s="188"/>
      <c r="F13" s="140">
        <f>VLOOKUP(H$2,Лист2!$A:$J,9,0)</f>
        <v>10</v>
      </c>
      <c r="G13" s="175"/>
      <c r="H13" s="173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6"/>
      <c r="B14" s="216"/>
      <c r="C14" s="216"/>
      <c r="D14" s="216"/>
      <c r="E14" s="216"/>
      <c r="F14" s="216"/>
      <c r="G14" s="216"/>
      <c r="H14" s="216"/>
      <c r="I14" s="216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7" t="s">
        <v>39</v>
      </c>
      <c r="C15" s="187"/>
      <c r="D15" s="187"/>
      <c r="E15" s="188"/>
      <c r="F15" s="156">
        <f>VLOOKUP(H$2,Лист2!$A:$J,10,0)</f>
        <v>0</v>
      </c>
      <c r="G15" s="175"/>
      <c r="H15" s="173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9"/>
      <c r="B16" s="189"/>
      <c r="C16" s="189"/>
      <c r="D16" s="189"/>
      <c r="E16" s="189"/>
      <c r="F16" s="189"/>
      <c r="G16" s="189"/>
      <c r="H16" s="189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7" t="s">
        <v>40</v>
      </c>
      <c r="C17" s="187"/>
      <c r="D17" s="187"/>
      <c r="E17" s="187"/>
      <c r="F17" s="134">
        <f>VLOOKUP(H$2,Лист2!$A:$K,11,0)</f>
        <v>0.15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9"/>
      <c r="B18" s="189"/>
      <c r="C18" s="189"/>
      <c r="D18" s="189"/>
      <c r="E18" s="189"/>
      <c r="F18" s="189"/>
      <c r="G18" s="189"/>
      <c r="H18" s="189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8" t="str">
        <f>Назви!A7</f>
        <v xml:space="preserve">Щомісячна плата за обслуговування кредитної заборгованості, % </v>
      </c>
      <c r="C19" s="197">
        <f>Назви!B7</f>
        <v>0</v>
      </c>
      <c r="D19" s="197">
        <f>Назви!C7</f>
        <v>0</v>
      </c>
      <c r="E19" s="198">
        <f>Назви!D7</f>
        <v>0</v>
      </c>
      <c r="F19" s="134">
        <f>VLOOKUP(H$2,Лист2!$A:$G,6,0)</f>
        <v>3.5000000000000003E-2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8" t="str">
        <f>Назви!A9</f>
        <v>Термін кредитування (міс.)</v>
      </c>
      <c r="C21" s="197">
        <f>Назви!B9</f>
        <v>0</v>
      </c>
      <c r="D21" s="197">
        <f>Назви!C9</f>
        <v>0</v>
      </c>
      <c r="E21" s="198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57500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2" t="str">
        <f>Назви!A14</f>
        <v>Орієнтовні загальні витрати за кредитом, грн.</v>
      </c>
      <c r="C24" s="193"/>
      <c r="D24" s="193"/>
      <c r="E24" s="193"/>
      <c r="F24" s="160">
        <f>G100-F5</f>
        <v>35686.5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2" t="str">
        <f>Назви!A16</f>
        <v>Орієнтовна загальна вартість кредиту, грн.</v>
      </c>
      <c r="C26" s="193">
        <f>Назви!B14</f>
        <v>0</v>
      </c>
      <c r="D26" s="193">
        <f>Назви!C14</f>
        <v>0</v>
      </c>
      <c r="E26" s="194">
        <f>Назви!D14</f>
        <v>0</v>
      </c>
      <c r="F26" s="144">
        <f>F5+F24</f>
        <v>85686.5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2" t="str">
        <f>Назви!A18</f>
        <v>Реальна річна процентна ставка, %</v>
      </c>
      <c r="C28" s="193">
        <f>Назви!B16</f>
        <v>0</v>
      </c>
      <c r="D28" s="193">
        <f>Назви!C16</f>
        <v>0</v>
      </c>
      <c r="E28" s="194">
        <f>Назви!D16</f>
        <v>0</v>
      </c>
      <c r="F28" s="147">
        <f ca="1">XIRR(G39:G87,C39:C87)</f>
        <v>0.6273807227611542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5" t="str">
        <f>Назви!A19</f>
        <v>Інший термін</v>
      </c>
      <c r="C30" s="196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90" t="s">
        <v>32</v>
      </c>
      <c r="C31" s="191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90" t="s">
        <v>33</v>
      </c>
      <c r="C32" s="191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90" t="s">
        <v>9</v>
      </c>
      <c r="C33" s="191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90"/>
      <c r="C34" s="191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00" t="str">
        <f>Назви!A26</f>
        <v xml:space="preserve">ГРАФІК СПЛАТИ КРЕДИТУ </v>
      </c>
      <c r="C37" s="201"/>
      <c r="D37" s="201"/>
      <c r="E37" s="201"/>
      <c r="F37" s="201"/>
      <c r="G37" s="201"/>
      <c r="H37" s="202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3" t="str">
        <f>Назви!A27</f>
        <v>Місяць</v>
      </c>
      <c r="C38" s="204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3" t="str">
        <f>Назви!F27</f>
        <v>Загальна сума внесків до повернення в місяць, грн.</v>
      </c>
      <c r="H38" s="204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5" hidden="1" thickBot="1" x14ac:dyDescent="0.25">
      <c r="A39" s="1"/>
      <c r="B39" s="90">
        <v>0</v>
      </c>
      <c r="C39" s="159">
        <f ca="1">TODAY()</f>
        <v>45859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45890</v>
      </c>
      <c r="D40" s="19">
        <f>IF(B40&lt;=$F$21,$F$7/$F$21,0)</f>
        <v>2395.8333333333335</v>
      </c>
      <c r="E40" s="20">
        <f>IF(AND(B40&gt;F$13,B40&lt;=$F$21),F$7*F$19,0)</f>
        <v>0</v>
      </c>
      <c r="F40" s="182">
        <f>IF(B40&lt;=$F$21,F$7*F$9/12,0)</f>
        <v>0.47916666666666669</v>
      </c>
      <c r="G40" s="199">
        <f t="shared" ref="G40:G99" si="0">IF(B$40&lt;=F$21,D40+E40+F40,0)</f>
        <v>2396.3125</v>
      </c>
      <c r="H40" s="199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45921</v>
      </c>
      <c r="D41" s="19">
        <f t="shared" ref="D41:D87" si="2">IF(B41&lt;=$F$21,$F$7/$F$21,0)</f>
        <v>2395.8333333333335</v>
      </c>
      <c r="E41" s="20">
        <f t="shared" ref="E41:E99" si="3">IF(AND(B41&gt;F$13,B41&lt;=$F$21),F$7*F$19,0)</f>
        <v>0</v>
      </c>
      <c r="F41" s="182">
        <f t="shared" ref="F41:F99" si="4">IF(B41&lt;=$F$21,F$7*F$9/12,0)</f>
        <v>0.47916666666666669</v>
      </c>
      <c r="G41" s="199">
        <f t="shared" si="0"/>
        <v>2396.3125</v>
      </c>
      <c r="H41" s="199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45951</v>
      </c>
      <c r="D42" s="19">
        <f t="shared" si="2"/>
        <v>2395.8333333333335</v>
      </c>
      <c r="E42" s="20">
        <f t="shared" si="3"/>
        <v>0</v>
      </c>
      <c r="F42" s="182">
        <f t="shared" si="4"/>
        <v>0.47916666666666669</v>
      </c>
      <c r="G42" s="199">
        <f t="shared" si="0"/>
        <v>2396.3125</v>
      </c>
      <c r="H42" s="199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45982</v>
      </c>
      <c r="D43" s="19">
        <f t="shared" si="2"/>
        <v>2395.8333333333335</v>
      </c>
      <c r="E43" s="20">
        <f t="shared" si="3"/>
        <v>0</v>
      </c>
      <c r="F43" s="182">
        <f t="shared" si="4"/>
        <v>0.47916666666666669</v>
      </c>
      <c r="G43" s="199">
        <f t="shared" si="0"/>
        <v>2396.3125</v>
      </c>
      <c r="H43" s="199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46012</v>
      </c>
      <c r="D44" s="19">
        <f t="shared" si="2"/>
        <v>2395.8333333333335</v>
      </c>
      <c r="E44" s="20">
        <f t="shared" si="3"/>
        <v>0</v>
      </c>
      <c r="F44" s="182">
        <f t="shared" si="4"/>
        <v>0.47916666666666669</v>
      </c>
      <c r="G44" s="199">
        <f t="shared" si="0"/>
        <v>2396.3125</v>
      </c>
      <c r="H44" s="199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46043</v>
      </c>
      <c r="D45" s="19">
        <f t="shared" si="2"/>
        <v>2395.8333333333335</v>
      </c>
      <c r="E45" s="20">
        <f t="shared" si="3"/>
        <v>0</v>
      </c>
      <c r="F45" s="182">
        <f t="shared" si="4"/>
        <v>0.47916666666666669</v>
      </c>
      <c r="G45" s="199">
        <f t="shared" si="0"/>
        <v>2396.3125</v>
      </c>
      <c r="H45" s="199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46074</v>
      </c>
      <c r="D46" s="19">
        <f t="shared" si="2"/>
        <v>2395.8333333333335</v>
      </c>
      <c r="E46" s="20">
        <f t="shared" si="3"/>
        <v>0</v>
      </c>
      <c r="F46" s="182">
        <f t="shared" si="4"/>
        <v>0.47916666666666669</v>
      </c>
      <c r="G46" s="199">
        <f t="shared" si="0"/>
        <v>2396.3125</v>
      </c>
      <c r="H46" s="199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46102</v>
      </c>
      <c r="D47" s="19">
        <f t="shared" si="2"/>
        <v>2395.8333333333335</v>
      </c>
      <c r="E47" s="20">
        <f t="shared" si="3"/>
        <v>0</v>
      </c>
      <c r="F47" s="182">
        <f t="shared" si="4"/>
        <v>0.47916666666666669</v>
      </c>
      <c r="G47" s="199">
        <f t="shared" si="0"/>
        <v>2396.3125</v>
      </c>
      <c r="H47" s="199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46133</v>
      </c>
      <c r="D48" s="19">
        <f t="shared" si="2"/>
        <v>2395.8333333333335</v>
      </c>
      <c r="E48" s="20">
        <f t="shared" si="3"/>
        <v>0</v>
      </c>
      <c r="F48" s="182">
        <f t="shared" si="4"/>
        <v>0.47916666666666669</v>
      </c>
      <c r="G48" s="199">
        <f t="shared" si="0"/>
        <v>2396.3125</v>
      </c>
      <c r="H48" s="199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46163</v>
      </c>
      <c r="D49" s="19">
        <f t="shared" si="2"/>
        <v>2395.8333333333335</v>
      </c>
      <c r="E49" s="20">
        <f t="shared" si="3"/>
        <v>0</v>
      </c>
      <c r="F49" s="182">
        <f t="shared" si="4"/>
        <v>0.47916666666666669</v>
      </c>
      <c r="G49" s="199">
        <f t="shared" si="0"/>
        <v>2396.3125</v>
      </c>
      <c r="H49" s="199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46194</v>
      </c>
      <c r="D50" s="19">
        <f t="shared" si="2"/>
        <v>2395.8333333333335</v>
      </c>
      <c r="E50" s="20">
        <f t="shared" si="3"/>
        <v>2012.5000000000002</v>
      </c>
      <c r="F50" s="182">
        <f t="shared" si="4"/>
        <v>0.47916666666666669</v>
      </c>
      <c r="G50" s="199">
        <f t="shared" si="0"/>
        <v>4408.8125000000009</v>
      </c>
      <c r="H50" s="199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46224</v>
      </c>
      <c r="D51" s="19">
        <f t="shared" si="2"/>
        <v>2395.8333333333335</v>
      </c>
      <c r="E51" s="20">
        <f t="shared" si="3"/>
        <v>2012.5000000000002</v>
      </c>
      <c r="F51" s="182">
        <f t="shared" si="4"/>
        <v>0.47916666666666669</v>
      </c>
      <c r="G51" s="199">
        <f t="shared" si="0"/>
        <v>4408.8125000000009</v>
      </c>
      <c r="H51" s="199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46255</v>
      </c>
      <c r="D52" s="19">
        <f t="shared" si="2"/>
        <v>2395.8333333333335</v>
      </c>
      <c r="E52" s="20">
        <f t="shared" si="3"/>
        <v>2012.5000000000002</v>
      </c>
      <c r="F52" s="182">
        <f t="shared" si="4"/>
        <v>0.47916666666666669</v>
      </c>
      <c r="G52" s="199">
        <f t="shared" si="0"/>
        <v>4408.8125000000009</v>
      </c>
      <c r="H52" s="199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46286</v>
      </c>
      <c r="D53" s="19">
        <f t="shared" si="2"/>
        <v>2395.8333333333335</v>
      </c>
      <c r="E53" s="20">
        <f t="shared" si="3"/>
        <v>2012.5000000000002</v>
      </c>
      <c r="F53" s="182">
        <f t="shared" si="4"/>
        <v>0.47916666666666669</v>
      </c>
      <c r="G53" s="199">
        <f t="shared" si="0"/>
        <v>4408.8125000000009</v>
      </c>
      <c r="H53" s="199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46316</v>
      </c>
      <c r="D54" s="19">
        <f t="shared" si="2"/>
        <v>2395.8333333333335</v>
      </c>
      <c r="E54" s="20">
        <f t="shared" si="3"/>
        <v>2012.5000000000002</v>
      </c>
      <c r="F54" s="182">
        <f t="shared" si="4"/>
        <v>0.47916666666666669</v>
      </c>
      <c r="G54" s="199">
        <f t="shared" si="0"/>
        <v>4408.8125000000009</v>
      </c>
      <c r="H54" s="199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46347</v>
      </c>
      <c r="D55" s="19">
        <f t="shared" si="2"/>
        <v>2395.8333333333335</v>
      </c>
      <c r="E55" s="20">
        <f t="shared" si="3"/>
        <v>2012.5000000000002</v>
      </c>
      <c r="F55" s="182">
        <f t="shared" si="4"/>
        <v>0.47916666666666669</v>
      </c>
      <c r="G55" s="199">
        <f t="shared" si="0"/>
        <v>4408.8125000000009</v>
      </c>
      <c r="H55" s="199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46377</v>
      </c>
      <c r="D56" s="19">
        <f t="shared" si="2"/>
        <v>2395.8333333333335</v>
      </c>
      <c r="E56" s="20">
        <f t="shared" si="3"/>
        <v>2012.5000000000002</v>
      </c>
      <c r="F56" s="182">
        <f t="shared" si="4"/>
        <v>0.47916666666666669</v>
      </c>
      <c r="G56" s="199">
        <f t="shared" si="0"/>
        <v>4408.8125000000009</v>
      </c>
      <c r="H56" s="199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46408</v>
      </c>
      <c r="D57" s="19">
        <f t="shared" si="2"/>
        <v>2395.8333333333335</v>
      </c>
      <c r="E57" s="20">
        <f t="shared" si="3"/>
        <v>2012.5000000000002</v>
      </c>
      <c r="F57" s="182">
        <f t="shared" si="4"/>
        <v>0.47916666666666669</v>
      </c>
      <c r="G57" s="199">
        <f t="shared" si="0"/>
        <v>4408.8125000000009</v>
      </c>
      <c r="H57" s="199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46439</v>
      </c>
      <c r="D58" s="19">
        <f t="shared" si="2"/>
        <v>2395.8333333333335</v>
      </c>
      <c r="E58" s="20">
        <f t="shared" si="3"/>
        <v>2012.5000000000002</v>
      </c>
      <c r="F58" s="182">
        <f t="shared" si="4"/>
        <v>0.47916666666666669</v>
      </c>
      <c r="G58" s="199">
        <f t="shared" si="0"/>
        <v>4408.8125000000009</v>
      </c>
      <c r="H58" s="199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46467</v>
      </c>
      <c r="D59" s="19">
        <f t="shared" si="2"/>
        <v>2395.8333333333335</v>
      </c>
      <c r="E59" s="20">
        <f t="shared" si="3"/>
        <v>2012.5000000000002</v>
      </c>
      <c r="F59" s="182">
        <f t="shared" si="4"/>
        <v>0.47916666666666669</v>
      </c>
      <c r="G59" s="199">
        <f t="shared" si="0"/>
        <v>4408.8125000000009</v>
      </c>
      <c r="H59" s="199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46498</v>
      </c>
      <c r="D60" s="19">
        <f t="shared" si="2"/>
        <v>2395.8333333333335</v>
      </c>
      <c r="E60" s="20">
        <f t="shared" si="3"/>
        <v>2012.5000000000002</v>
      </c>
      <c r="F60" s="182">
        <f t="shared" si="4"/>
        <v>0.47916666666666669</v>
      </c>
      <c r="G60" s="199">
        <f t="shared" si="0"/>
        <v>4408.8125000000009</v>
      </c>
      <c r="H60" s="199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46528</v>
      </c>
      <c r="D61" s="19">
        <f t="shared" si="2"/>
        <v>2395.8333333333335</v>
      </c>
      <c r="E61" s="20">
        <f t="shared" si="3"/>
        <v>2012.5000000000002</v>
      </c>
      <c r="F61" s="182">
        <f t="shared" si="4"/>
        <v>0.47916666666666669</v>
      </c>
      <c r="G61" s="199">
        <f t="shared" si="0"/>
        <v>4408.8125000000009</v>
      </c>
      <c r="H61" s="199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46559</v>
      </c>
      <c r="D62" s="19">
        <f t="shared" si="2"/>
        <v>2395.8333333333335</v>
      </c>
      <c r="E62" s="20">
        <f t="shared" si="3"/>
        <v>2012.5000000000002</v>
      </c>
      <c r="F62" s="182">
        <f t="shared" si="4"/>
        <v>0.47916666666666669</v>
      </c>
      <c r="G62" s="199">
        <f t="shared" si="0"/>
        <v>4408.8125000000009</v>
      </c>
      <c r="H62" s="199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46589</v>
      </c>
      <c r="D63" s="19">
        <f t="shared" si="2"/>
        <v>2395.8333333333335</v>
      </c>
      <c r="E63" s="20">
        <f t="shared" si="3"/>
        <v>2012.5000000000002</v>
      </c>
      <c r="F63" s="182">
        <f t="shared" si="4"/>
        <v>0.47916666666666669</v>
      </c>
      <c r="G63" s="199">
        <f t="shared" si="0"/>
        <v>4408.8125000000009</v>
      </c>
      <c r="H63" s="199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46620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199">
        <f t="shared" si="0"/>
        <v>0</v>
      </c>
      <c r="H64" s="199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46651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199">
        <f t="shared" si="0"/>
        <v>0</v>
      </c>
      <c r="H65" s="199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46681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199">
        <f t="shared" si="0"/>
        <v>0</v>
      </c>
      <c r="H66" s="199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46712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199">
        <f t="shared" si="0"/>
        <v>0</v>
      </c>
      <c r="H67" s="199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46742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199">
        <f t="shared" si="0"/>
        <v>0</v>
      </c>
      <c r="H68" s="199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46773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199">
        <f t="shared" si="0"/>
        <v>0</v>
      </c>
      <c r="H69" s="199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46804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199">
        <f t="shared" si="0"/>
        <v>0</v>
      </c>
      <c r="H70" s="199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46833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199">
        <f t="shared" si="0"/>
        <v>0</v>
      </c>
      <c r="H71" s="199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46864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199">
        <f t="shared" si="0"/>
        <v>0</v>
      </c>
      <c r="H72" s="199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46894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199">
        <f t="shared" si="0"/>
        <v>0</v>
      </c>
      <c r="H73" s="199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46925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199">
        <f t="shared" si="0"/>
        <v>0</v>
      </c>
      <c r="H74" s="199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46955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199">
        <f t="shared" si="0"/>
        <v>0</v>
      </c>
      <c r="H75" s="199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46986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199">
        <f t="shared" si="0"/>
        <v>0</v>
      </c>
      <c r="H76" s="199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47017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199">
        <f t="shared" si="0"/>
        <v>0</v>
      </c>
      <c r="H77" s="199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47047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199">
        <f t="shared" si="0"/>
        <v>0</v>
      </c>
      <c r="H78" s="199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47078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199">
        <f t="shared" si="0"/>
        <v>0</v>
      </c>
      <c r="H79" s="199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47108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199">
        <f t="shared" si="0"/>
        <v>0</v>
      </c>
      <c r="H80" s="199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47139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199">
        <f t="shared" si="0"/>
        <v>0</v>
      </c>
      <c r="H81" s="199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47170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199">
        <f t="shared" si="0"/>
        <v>0</v>
      </c>
      <c r="H82" s="199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47198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199">
        <f t="shared" si="0"/>
        <v>0</v>
      </c>
      <c r="H83" s="199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47229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199">
        <f t="shared" si="0"/>
        <v>0</v>
      </c>
      <c r="H84" s="199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47259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199">
        <f t="shared" si="0"/>
        <v>0</v>
      </c>
      <c r="H85" s="199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47290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199">
        <f t="shared" si="0"/>
        <v>0</v>
      </c>
      <c r="H86" s="199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47320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199">
        <f t="shared" si="0"/>
        <v>0</v>
      </c>
      <c r="H87" s="199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47351</v>
      </c>
      <c r="D88" s="180">
        <f t="shared" ref="D88:D99" si="5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07">
        <f t="shared" si="0"/>
        <v>0</v>
      </c>
      <c r="H88" s="208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47382</v>
      </c>
      <c r="D89" s="107">
        <f t="shared" si="5"/>
        <v>0</v>
      </c>
      <c r="E89" s="108">
        <f t="shared" si="3"/>
        <v>0</v>
      </c>
      <c r="F89" s="182">
        <f t="shared" si="4"/>
        <v>0</v>
      </c>
      <c r="G89" s="209">
        <f t="shared" si="0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47412</v>
      </c>
      <c r="D90" s="107">
        <f t="shared" si="5"/>
        <v>0</v>
      </c>
      <c r="E90" s="108">
        <f t="shared" si="3"/>
        <v>0</v>
      </c>
      <c r="F90" s="182">
        <f t="shared" si="4"/>
        <v>0</v>
      </c>
      <c r="G90" s="209">
        <f t="shared" si="0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47443</v>
      </c>
      <c r="D91" s="107">
        <f t="shared" si="5"/>
        <v>0</v>
      </c>
      <c r="E91" s="108">
        <f t="shared" si="3"/>
        <v>0</v>
      </c>
      <c r="F91" s="182">
        <f t="shared" si="4"/>
        <v>0</v>
      </c>
      <c r="G91" s="209">
        <f t="shared" si="0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47473</v>
      </c>
      <c r="D92" s="107">
        <f t="shared" si="5"/>
        <v>0</v>
      </c>
      <c r="E92" s="108">
        <f t="shared" si="3"/>
        <v>0</v>
      </c>
      <c r="F92" s="182">
        <f t="shared" si="4"/>
        <v>0</v>
      </c>
      <c r="G92" s="209">
        <f t="shared" si="0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47504</v>
      </c>
      <c r="D93" s="107">
        <f t="shared" si="5"/>
        <v>0</v>
      </c>
      <c r="E93" s="108">
        <f t="shared" si="3"/>
        <v>0</v>
      </c>
      <c r="F93" s="182">
        <f t="shared" si="4"/>
        <v>0</v>
      </c>
      <c r="G93" s="209">
        <f t="shared" si="0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47535</v>
      </c>
      <c r="D94" s="107">
        <f t="shared" si="5"/>
        <v>0</v>
      </c>
      <c r="E94" s="108">
        <f t="shared" si="3"/>
        <v>0</v>
      </c>
      <c r="F94" s="182">
        <f t="shared" si="4"/>
        <v>0</v>
      </c>
      <c r="G94" s="209">
        <f t="shared" si="0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47563</v>
      </c>
      <c r="D95" s="107">
        <f t="shared" si="5"/>
        <v>0</v>
      </c>
      <c r="E95" s="108">
        <f t="shared" si="3"/>
        <v>0</v>
      </c>
      <c r="F95" s="182">
        <f t="shared" si="4"/>
        <v>0</v>
      </c>
      <c r="G95" s="209">
        <f t="shared" si="0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47594</v>
      </c>
      <c r="D96" s="107">
        <f t="shared" si="5"/>
        <v>0</v>
      </c>
      <c r="E96" s="108">
        <f t="shared" si="3"/>
        <v>0</v>
      </c>
      <c r="F96" s="182">
        <f t="shared" si="4"/>
        <v>0</v>
      </c>
      <c r="G96" s="209">
        <f t="shared" si="0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47624</v>
      </c>
      <c r="D97" s="107">
        <f t="shared" si="5"/>
        <v>0</v>
      </c>
      <c r="E97" s="108">
        <f t="shared" si="3"/>
        <v>0</v>
      </c>
      <c r="F97" s="182">
        <f t="shared" si="4"/>
        <v>0</v>
      </c>
      <c r="G97" s="209">
        <f t="shared" si="0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47655</v>
      </c>
      <c r="D98" s="107">
        <f t="shared" si="5"/>
        <v>0</v>
      </c>
      <c r="E98" s="108">
        <f t="shared" si="3"/>
        <v>0</v>
      </c>
      <c r="F98" s="182">
        <f t="shared" si="4"/>
        <v>0</v>
      </c>
      <c r="G98" s="209">
        <f t="shared" si="0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47685</v>
      </c>
      <c r="D99" s="107">
        <f t="shared" si="5"/>
        <v>0</v>
      </c>
      <c r="E99" s="108">
        <f t="shared" si="3"/>
        <v>0</v>
      </c>
      <c r="F99" s="182">
        <f t="shared" si="4"/>
        <v>0</v>
      </c>
      <c r="G99" s="209">
        <f t="shared" si="0"/>
        <v>0</v>
      </c>
      <c r="H99" s="210"/>
      <c r="I99" s="104"/>
      <c r="J99" s="104"/>
    </row>
    <row r="100" spans="1:19" s="4" customFormat="1" ht="16.5" thickBot="1" x14ac:dyDescent="0.25">
      <c r="A100" s="43"/>
      <c r="B100" s="205" t="s">
        <v>1</v>
      </c>
      <c r="C100" s="206"/>
      <c r="D100" s="93">
        <f>SUM(D40:D99)</f>
        <v>57500.000000000022</v>
      </c>
      <c r="E100" s="93">
        <f>SUM(E40:E99)</f>
        <v>28175.000000000004</v>
      </c>
      <c r="F100" s="99">
        <f>SUM(F40:F99)</f>
        <v>11.499999999999998</v>
      </c>
      <c r="G100" s="212">
        <f>SUM(G40:H99)</f>
        <v>85686.5</v>
      </c>
      <c r="H100" s="213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1" t="s">
        <v>6</v>
      </c>
      <c r="F102" s="211"/>
      <c r="G102" s="211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1o89dbiGRPaS8Hpwyesqtw4V6bsig9gdhf9m10JxJDQdl3Hh7Uwk5Nmww3BPhg4ANChBT4rplUzobUOXiYLr2Q==" saltValue="mRzBtqyGoMVGdvASPOm35A==" spinCount="100000" sheet="1" selectLockedCells="1"/>
  <dataConsolidate/>
  <mergeCells count="93">
    <mergeCell ref="B100:C100"/>
    <mergeCell ref="G100:H100"/>
    <mergeCell ref="E102:G102"/>
    <mergeCell ref="G94:H94"/>
    <mergeCell ref="G95:H95"/>
    <mergeCell ref="G96:H96"/>
    <mergeCell ref="G97:H97"/>
    <mergeCell ref="G98:H98"/>
    <mergeCell ref="G99:H99"/>
    <mergeCell ref="G93:H93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G81:H81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69:H69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57:H57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45:H45"/>
    <mergeCell ref="B32:C32"/>
    <mergeCell ref="B33:C33"/>
    <mergeCell ref="B34:C34"/>
    <mergeCell ref="B37:H37"/>
    <mergeCell ref="B38:C38"/>
    <mergeCell ref="G38:H38"/>
    <mergeCell ref="G40:H40"/>
    <mergeCell ref="G41:H41"/>
    <mergeCell ref="G42:H42"/>
    <mergeCell ref="G43:H43"/>
    <mergeCell ref="G44:H44"/>
    <mergeCell ref="B31:C31"/>
    <mergeCell ref="A14:I14"/>
    <mergeCell ref="B15:E15"/>
    <mergeCell ref="A16:H16"/>
    <mergeCell ref="B17:E17"/>
    <mergeCell ref="A18:H18"/>
    <mergeCell ref="B19:E19"/>
    <mergeCell ref="B21:E21"/>
    <mergeCell ref="B24:E24"/>
    <mergeCell ref="B26:E26"/>
    <mergeCell ref="B28:E28"/>
    <mergeCell ref="B30:C30"/>
    <mergeCell ref="B13:E13"/>
    <mergeCell ref="H1:I1"/>
    <mergeCell ref="H2:I2"/>
    <mergeCell ref="F3:F4"/>
    <mergeCell ref="H3:I3"/>
    <mergeCell ref="B5:E5"/>
    <mergeCell ref="A6:H6"/>
    <mergeCell ref="B7:E7"/>
    <mergeCell ref="A8:I8"/>
    <mergeCell ref="B9:E9"/>
    <mergeCell ref="B11:E11"/>
    <mergeCell ref="A12:I12"/>
  </mergeCells>
  <dataValidations count="1">
    <dataValidation type="list" allowBlank="1" showInputMessage="1" showErrorMessage="1" sqref="H2:I2" xr:uid="{9C7A45D8-F694-4E82-9668-523C24790FF9}">
      <formula1>$L$8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1" t="s">
        <v>60</v>
      </c>
      <c r="E2" s="241"/>
      <c r="F2" s="241"/>
      <c r="G2" s="241"/>
      <c r="H2" s="241"/>
      <c r="I2" s="241"/>
      <c r="J2" s="241"/>
      <c r="K2" s="241"/>
    </row>
    <row r="5" spans="2:11" ht="13.15" customHeight="1" x14ac:dyDescent="0.2">
      <c r="B5" s="231" t="s">
        <v>151</v>
      </c>
      <c r="C5" s="231"/>
      <c r="D5" s="179" t="s">
        <v>154</v>
      </c>
      <c r="E5" s="179" t="s">
        <v>49</v>
      </c>
    </row>
    <row r="6" spans="2:11" ht="13.15" customHeight="1" x14ac:dyDescent="0.2">
      <c r="B6" s="232" t="s">
        <v>155</v>
      </c>
      <c r="C6" s="233"/>
      <c r="D6" s="178" t="s">
        <v>61</v>
      </c>
      <c r="E6" s="178" t="s">
        <v>62</v>
      </c>
    </row>
    <row r="7" spans="2:11" x14ac:dyDescent="0.2">
      <c r="B7" s="234"/>
      <c r="C7" s="235"/>
      <c r="D7" s="178" t="s">
        <v>63</v>
      </c>
      <c r="E7" s="178" t="s">
        <v>64</v>
      </c>
    </row>
    <row r="8" spans="2:11" x14ac:dyDescent="0.2">
      <c r="B8" s="234"/>
      <c r="C8" s="235"/>
      <c r="D8" s="178" t="s">
        <v>65</v>
      </c>
      <c r="E8" s="178" t="s">
        <v>66</v>
      </c>
    </row>
    <row r="9" spans="2:11" x14ac:dyDescent="0.2">
      <c r="B9" s="234"/>
      <c r="C9" s="235"/>
      <c r="D9" s="178" t="s">
        <v>67</v>
      </c>
      <c r="E9" s="178" t="s">
        <v>68</v>
      </c>
    </row>
    <row r="10" spans="2:11" x14ac:dyDescent="0.2">
      <c r="B10" s="234"/>
      <c r="C10" s="235"/>
      <c r="D10" s="178" t="s">
        <v>69</v>
      </c>
      <c r="E10" s="178" t="s">
        <v>57</v>
      </c>
    </row>
    <row r="11" spans="2:11" x14ac:dyDescent="0.2">
      <c r="B11" s="234"/>
      <c r="C11" s="235"/>
      <c r="D11" s="178" t="s">
        <v>70</v>
      </c>
      <c r="E11" s="178" t="s">
        <v>71</v>
      </c>
    </row>
    <row r="12" spans="2:11" x14ac:dyDescent="0.2">
      <c r="B12" s="234"/>
      <c r="C12" s="235"/>
      <c r="D12" s="178" t="s">
        <v>72</v>
      </c>
      <c r="E12" s="178" t="s">
        <v>73</v>
      </c>
    </row>
    <row r="13" spans="2:11" x14ac:dyDescent="0.2">
      <c r="B13" s="234"/>
      <c r="C13" s="235"/>
      <c r="D13" s="178" t="s">
        <v>74</v>
      </c>
      <c r="E13" s="178" t="s">
        <v>75</v>
      </c>
    </row>
    <row r="14" spans="2:11" x14ac:dyDescent="0.2">
      <c r="B14" s="234"/>
      <c r="C14" s="235"/>
      <c r="D14" s="178" t="s">
        <v>76</v>
      </c>
      <c r="E14" s="178" t="s">
        <v>77</v>
      </c>
    </row>
    <row r="15" spans="2:11" x14ac:dyDescent="0.2">
      <c r="B15" s="234"/>
      <c r="C15" s="235"/>
      <c r="D15" s="178" t="s">
        <v>78</v>
      </c>
      <c r="E15" s="178" t="s">
        <v>79</v>
      </c>
    </row>
    <row r="16" spans="2:11" x14ac:dyDescent="0.2">
      <c r="B16" s="234"/>
      <c r="C16" s="235"/>
      <c r="D16" s="178" t="s">
        <v>80</v>
      </c>
      <c r="E16" s="178" t="s">
        <v>81</v>
      </c>
    </row>
    <row r="17" spans="2:5" x14ac:dyDescent="0.2">
      <c r="B17" s="234"/>
      <c r="C17" s="235"/>
      <c r="D17" s="178" t="s">
        <v>82</v>
      </c>
      <c r="E17" s="178" t="s">
        <v>83</v>
      </c>
    </row>
    <row r="18" spans="2:5" x14ac:dyDescent="0.2">
      <c r="B18" s="234"/>
      <c r="C18" s="235"/>
      <c r="D18" s="178" t="s">
        <v>84</v>
      </c>
      <c r="E18" s="178" t="s">
        <v>85</v>
      </c>
    </row>
    <row r="19" spans="2:5" x14ac:dyDescent="0.2">
      <c r="B19" s="234"/>
      <c r="C19" s="235"/>
      <c r="D19" s="178" t="s">
        <v>86</v>
      </c>
      <c r="E19" s="178" t="s">
        <v>87</v>
      </c>
    </row>
    <row r="20" spans="2:5" x14ac:dyDescent="0.2">
      <c r="B20" s="234"/>
      <c r="C20" s="235"/>
      <c r="D20" s="178" t="s">
        <v>88</v>
      </c>
      <c r="E20" s="178" t="s">
        <v>89</v>
      </c>
    </row>
    <row r="21" spans="2:5" x14ac:dyDescent="0.2">
      <c r="B21" s="234"/>
      <c r="C21" s="235"/>
      <c r="D21" s="178" t="s">
        <v>90</v>
      </c>
      <c r="E21" s="178" t="s">
        <v>91</v>
      </c>
    </row>
    <row r="22" spans="2:5" x14ac:dyDescent="0.2">
      <c r="B22" s="234"/>
      <c r="C22" s="235"/>
      <c r="D22" s="178" t="s">
        <v>92</v>
      </c>
      <c r="E22" s="178" t="s">
        <v>93</v>
      </c>
    </row>
    <row r="23" spans="2:5" x14ac:dyDescent="0.2">
      <c r="B23" s="234"/>
      <c r="C23" s="235"/>
      <c r="D23" s="178" t="s">
        <v>94</v>
      </c>
      <c r="E23" s="178" t="s">
        <v>95</v>
      </c>
    </row>
    <row r="24" spans="2:5" x14ac:dyDescent="0.2">
      <c r="B24" s="234"/>
      <c r="C24" s="235"/>
      <c r="D24" s="178" t="s">
        <v>96</v>
      </c>
      <c r="E24" s="178" t="s">
        <v>97</v>
      </c>
    </row>
    <row r="25" spans="2:5" x14ac:dyDescent="0.2">
      <c r="B25" s="234"/>
      <c r="C25" s="235"/>
      <c r="D25" s="178" t="s">
        <v>98</v>
      </c>
      <c r="E25" s="178" t="s">
        <v>99</v>
      </c>
    </row>
    <row r="26" spans="2:5" x14ac:dyDescent="0.2">
      <c r="B26" s="234"/>
      <c r="C26" s="235"/>
      <c r="D26" s="178" t="s">
        <v>100</v>
      </c>
      <c r="E26" s="178" t="s">
        <v>101</v>
      </c>
    </row>
    <row r="27" spans="2:5" x14ac:dyDescent="0.2">
      <c r="B27" s="234"/>
      <c r="C27" s="235"/>
      <c r="D27" s="178" t="s">
        <v>102</v>
      </c>
      <c r="E27" s="178" t="s">
        <v>103</v>
      </c>
    </row>
    <row r="28" spans="2:5" x14ac:dyDescent="0.2">
      <c r="B28" s="234"/>
      <c r="C28" s="235"/>
      <c r="D28" s="178" t="s">
        <v>104</v>
      </c>
      <c r="E28" s="178" t="s">
        <v>105</v>
      </c>
    </row>
    <row r="29" spans="2:5" x14ac:dyDescent="0.2">
      <c r="B29" s="234"/>
      <c r="C29" s="235"/>
      <c r="D29" s="178" t="s">
        <v>50</v>
      </c>
      <c r="E29" s="178" t="s">
        <v>51</v>
      </c>
    </row>
    <row r="30" spans="2:5" x14ac:dyDescent="0.2">
      <c r="B30" s="234"/>
      <c r="C30" s="235"/>
      <c r="D30" s="178" t="s">
        <v>106</v>
      </c>
      <c r="E30" s="178" t="s">
        <v>107</v>
      </c>
    </row>
    <row r="31" spans="2:5" x14ac:dyDescent="0.2">
      <c r="B31" s="234"/>
      <c r="C31" s="235"/>
      <c r="D31" s="178" t="s">
        <v>108</v>
      </c>
      <c r="E31" s="178" t="s">
        <v>109</v>
      </c>
    </row>
    <row r="32" spans="2:5" x14ac:dyDescent="0.2">
      <c r="B32" s="234"/>
      <c r="C32" s="235"/>
      <c r="D32" s="178" t="s">
        <v>110</v>
      </c>
      <c r="E32" s="178" t="s">
        <v>52</v>
      </c>
    </row>
    <row r="33" spans="2:5" x14ac:dyDescent="0.2">
      <c r="B33" s="234"/>
      <c r="C33" s="235"/>
      <c r="D33" s="178" t="s">
        <v>111</v>
      </c>
      <c r="E33" s="178" t="s">
        <v>112</v>
      </c>
    </row>
    <row r="34" spans="2:5" x14ac:dyDescent="0.2">
      <c r="B34" s="234"/>
      <c r="C34" s="235"/>
      <c r="D34" s="178" t="s">
        <v>113</v>
      </c>
      <c r="E34" s="178" t="s">
        <v>114</v>
      </c>
    </row>
    <row r="35" spans="2:5" x14ac:dyDescent="0.2">
      <c r="B35" s="234"/>
      <c r="C35" s="235"/>
      <c r="D35" s="178" t="s">
        <v>117</v>
      </c>
      <c r="E35" s="178" t="s">
        <v>118</v>
      </c>
    </row>
    <row r="36" spans="2:5" x14ac:dyDescent="0.2">
      <c r="B36" s="234"/>
      <c r="C36" s="235"/>
      <c r="D36" s="178" t="s">
        <v>119</v>
      </c>
      <c r="E36" s="178" t="s">
        <v>120</v>
      </c>
    </row>
    <row r="37" spans="2:5" x14ac:dyDescent="0.2">
      <c r="B37" s="234"/>
      <c r="C37" s="235"/>
      <c r="D37" s="178" t="s">
        <v>121</v>
      </c>
      <c r="E37" s="178" t="s">
        <v>122</v>
      </c>
    </row>
    <row r="38" spans="2:5" x14ac:dyDescent="0.2">
      <c r="B38" s="234"/>
      <c r="C38" s="235"/>
      <c r="D38" s="178" t="s">
        <v>123</v>
      </c>
      <c r="E38" s="178" t="s">
        <v>124</v>
      </c>
    </row>
    <row r="39" spans="2:5" x14ac:dyDescent="0.2">
      <c r="B39" s="234"/>
      <c r="C39" s="235"/>
      <c r="D39" s="178" t="s">
        <v>125</v>
      </c>
      <c r="E39" s="178" t="s">
        <v>126</v>
      </c>
    </row>
    <row r="40" spans="2:5" x14ac:dyDescent="0.2">
      <c r="B40" s="234"/>
      <c r="C40" s="235"/>
      <c r="D40" s="178" t="s">
        <v>53</v>
      </c>
      <c r="E40" s="178" t="s">
        <v>127</v>
      </c>
    </row>
    <row r="41" spans="2:5" x14ac:dyDescent="0.2">
      <c r="B41" s="234"/>
      <c r="C41" s="235"/>
      <c r="D41" s="178" t="s">
        <v>128</v>
      </c>
      <c r="E41" s="178" t="s">
        <v>129</v>
      </c>
    </row>
    <row r="42" spans="2:5" x14ac:dyDescent="0.2">
      <c r="B42" s="234"/>
      <c r="C42" s="235"/>
      <c r="D42" s="178" t="s">
        <v>130</v>
      </c>
      <c r="E42" s="178" t="s">
        <v>131</v>
      </c>
    </row>
    <row r="43" spans="2:5" x14ac:dyDescent="0.2">
      <c r="B43" s="234"/>
      <c r="C43" s="235"/>
      <c r="D43" s="178" t="s">
        <v>132</v>
      </c>
      <c r="E43" s="178" t="s">
        <v>133</v>
      </c>
    </row>
    <row r="44" spans="2:5" x14ac:dyDescent="0.2">
      <c r="B44" s="234"/>
      <c r="C44" s="235"/>
      <c r="D44" s="178" t="s">
        <v>134</v>
      </c>
      <c r="E44" s="178" t="s">
        <v>135</v>
      </c>
    </row>
    <row r="45" spans="2:5" x14ac:dyDescent="0.2">
      <c r="B45" s="234"/>
      <c r="C45" s="235"/>
      <c r="D45" s="178" t="s">
        <v>54</v>
      </c>
      <c r="E45" s="178" t="s">
        <v>55</v>
      </c>
    </row>
    <row r="46" spans="2:5" x14ac:dyDescent="0.2">
      <c r="B46" s="234"/>
      <c r="C46" s="235"/>
      <c r="D46" s="178" t="s">
        <v>136</v>
      </c>
      <c r="E46" s="178" t="s">
        <v>137</v>
      </c>
    </row>
    <row r="47" spans="2:5" x14ac:dyDescent="0.2">
      <c r="B47" s="234"/>
      <c r="C47" s="235"/>
      <c r="D47" s="178" t="s">
        <v>138</v>
      </c>
      <c r="E47" s="178" t="s">
        <v>56</v>
      </c>
    </row>
    <row r="48" spans="2:5" x14ac:dyDescent="0.2">
      <c r="B48" s="234"/>
      <c r="C48" s="235"/>
      <c r="D48" s="178" t="s">
        <v>139</v>
      </c>
      <c r="E48" s="178" t="s">
        <v>140</v>
      </c>
    </row>
    <row r="49" spans="2:5" x14ac:dyDescent="0.2">
      <c r="B49" s="234"/>
      <c r="C49" s="235"/>
      <c r="D49" s="178" t="s">
        <v>141</v>
      </c>
      <c r="E49" s="178" t="s">
        <v>142</v>
      </c>
    </row>
    <row r="50" spans="2:5" x14ac:dyDescent="0.2">
      <c r="B50" s="234"/>
      <c r="C50" s="235"/>
      <c r="D50" s="178" t="s">
        <v>145</v>
      </c>
      <c r="E50" s="178" t="s">
        <v>146</v>
      </c>
    </row>
    <row r="51" spans="2:5" x14ac:dyDescent="0.2">
      <c r="B51" s="234"/>
      <c r="C51" s="235"/>
      <c r="D51" s="178" t="s">
        <v>147</v>
      </c>
      <c r="E51" s="178" t="s">
        <v>148</v>
      </c>
    </row>
    <row r="52" spans="2:5" x14ac:dyDescent="0.2">
      <c r="B52" s="234"/>
      <c r="C52" s="235"/>
      <c r="D52" s="178" t="s">
        <v>149</v>
      </c>
      <c r="E52" s="178" t="s">
        <v>150</v>
      </c>
    </row>
    <row r="53" spans="2:5" ht="13.15" customHeight="1" x14ac:dyDescent="0.2">
      <c r="B53" s="236"/>
      <c r="C53" s="237"/>
      <c r="D53" s="178" t="s">
        <v>58</v>
      </c>
      <c r="E53" s="178" t="s">
        <v>59</v>
      </c>
    </row>
    <row r="54" spans="2:5" x14ac:dyDescent="0.2">
      <c r="B54" s="238" t="s">
        <v>152</v>
      </c>
      <c r="C54" s="239"/>
      <c r="D54" s="183" t="s">
        <v>115</v>
      </c>
      <c r="E54" s="183" t="s">
        <v>116</v>
      </c>
    </row>
    <row r="55" spans="2:5" x14ac:dyDescent="0.2">
      <c r="B55" s="240" t="s">
        <v>153</v>
      </c>
      <c r="C55" s="240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7" t="s">
        <v>16</v>
      </c>
      <c r="B1" s="248"/>
      <c r="C1" s="248"/>
      <c r="D1" s="249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2" t="s">
        <v>44</v>
      </c>
      <c r="B3" s="243">
        <v>0</v>
      </c>
      <c r="C3" s="243">
        <v>0</v>
      </c>
      <c r="D3" s="244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2" t="s">
        <v>45</v>
      </c>
      <c r="B5" s="243">
        <v>0</v>
      </c>
      <c r="C5" s="243">
        <v>0</v>
      </c>
      <c r="D5" s="244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2" t="s">
        <v>46</v>
      </c>
      <c r="B7" s="243">
        <v>0</v>
      </c>
      <c r="C7" s="243">
        <v>0</v>
      </c>
      <c r="D7" s="244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2" t="s">
        <v>158</v>
      </c>
      <c r="B9" s="243"/>
      <c r="C9" s="243"/>
      <c r="D9" s="244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2" t="s">
        <v>157</v>
      </c>
      <c r="B12" s="243">
        <v>0</v>
      </c>
      <c r="C12" s="243">
        <v>0</v>
      </c>
      <c r="D12" s="244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2" t="s">
        <v>47</v>
      </c>
      <c r="B14" s="243">
        <v>0</v>
      </c>
      <c r="C14" s="243">
        <v>0</v>
      </c>
      <c r="D14" s="244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2" t="s">
        <v>156</v>
      </c>
      <c r="B16" s="243">
        <v>0</v>
      </c>
      <c r="C16" s="243">
        <v>0</v>
      </c>
      <c r="D16" s="244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5" t="s">
        <v>8</v>
      </c>
      <c r="B19" s="246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50" t="s">
        <v>20</v>
      </c>
      <c r="B20" s="251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50" t="s">
        <v>9</v>
      </c>
      <c r="B21" s="251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50" t="s">
        <v>18</v>
      </c>
      <c r="B22" s="251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50" t="s">
        <v>19</v>
      </c>
      <c r="B23" s="251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3" t="s">
        <v>30</v>
      </c>
      <c r="B26" s="254"/>
      <c r="C26" s="254"/>
      <c r="D26" s="254"/>
      <c r="E26" s="254"/>
      <c r="F26" s="254"/>
      <c r="G26" s="255"/>
    </row>
    <row r="27" spans="1:8" ht="45.75" thickBot="1" x14ac:dyDescent="0.25">
      <c r="A27" s="256" t="s">
        <v>2</v>
      </c>
      <c r="B27" s="257"/>
      <c r="C27" s="83" t="s">
        <v>4</v>
      </c>
      <c r="D27" s="83" t="s">
        <v>17</v>
      </c>
      <c r="E27" s="83" t="s">
        <v>5</v>
      </c>
      <c r="F27" s="258" t="s">
        <v>3</v>
      </c>
      <c r="G27" s="259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2"/>
      <c r="E29" s="252"/>
      <c r="F29" s="252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44437-5AB5-4F65-998F-A76D1D3C68F5}">
  <dimension ref="A1:AS107"/>
  <sheetViews>
    <sheetView tabSelected="1" view="pageBreakPreview" zoomScale="115" zoomScaleNormal="70" zoomScaleSheetLayoutView="115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1.42578125" style="4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20.28515625" customWidth="1"/>
    <col min="10" max="10" width="17.28515625" style="3" hidden="1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21.7109375" style="97" customWidth="1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4" t="s">
        <v>48</v>
      </c>
      <c r="I1" s="214"/>
    </row>
    <row r="2" spans="1:45" ht="12.75" customHeight="1" x14ac:dyDescent="0.2">
      <c r="A2" s="2"/>
      <c r="B2" s="88"/>
      <c r="C2" s="88"/>
      <c r="D2" s="88"/>
      <c r="E2" s="109">
        <f>VLOOKUP('Satellite_0-6-18'!H2,Лист2!A:P,16,FALSE)</f>
        <v>1000</v>
      </c>
      <c r="F2" s="132">
        <f>VLOOKUP(H$2,Лист2!$A:$H,8,0)</f>
        <v>100000.00079999999</v>
      </c>
      <c r="G2" s="177">
        <f ca="1">TODAY()</f>
        <v>45859</v>
      </c>
      <c r="H2" s="220" t="s">
        <v>162</v>
      </c>
      <c r="I2" s="221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54500</v>
      </c>
      <c r="F3" s="222" t="str">
        <f>IF(E3="x","Збільшіть суму",IF(E3="y","Зменшіть суму",""))</f>
        <v/>
      </c>
      <c r="G3" s="133">
        <f>Назви!B32</f>
        <v>30.4</v>
      </c>
      <c r="H3" s="224">
        <f>VLOOKUP(H$2,Лист2!$A:$H,8,0)</f>
        <v>100000.00079999999</v>
      </c>
      <c r="I3" s="225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3"/>
      <c r="G4" s="112"/>
      <c r="H4" s="162"/>
      <c r="I4" s="120"/>
      <c r="J4" s="35"/>
      <c r="AA4" s="51"/>
    </row>
    <row r="5" spans="1:45" ht="21" thickBot="1" x14ac:dyDescent="0.25">
      <c r="A5" s="1"/>
      <c r="B5" s="226" t="s">
        <v>42</v>
      </c>
      <c r="C5" s="227"/>
      <c r="D5" s="227"/>
      <c r="E5" s="228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9"/>
      <c r="B6" s="189"/>
      <c r="C6" s="189"/>
      <c r="D6" s="189"/>
      <c r="E6" s="189"/>
      <c r="F6" s="189"/>
      <c r="G6" s="189"/>
      <c r="H6" s="189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7" t="s">
        <v>43</v>
      </c>
      <c r="C7" s="218"/>
      <c r="D7" s="218"/>
      <c r="E7" s="219"/>
      <c r="F7" s="163">
        <f>F5+F5*F11+F15+F5*F17</f>
        <v>54500</v>
      </c>
      <c r="G7" s="164"/>
      <c r="H7" s="165"/>
      <c r="I7" s="42"/>
      <c r="J7" s="4"/>
      <c r="K7" s="37"/>
      <c r="L7" s="5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5"/>
      <c r="B8" s="215"/>
      <c r="C8" s="215"/>
      <c r="D8" s="215"/>
      <c r="E8" s="215"/>
      <c r="F8" s="189"/>
      <c r="G8" s="215"/>
      <c r="H8" s="215"/>
      <c r="I8" s="215"/>
      <c r="J8" s="4"/>
      <c r="K8" s="37"/>
      <c r="L8" s="5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9" t="str">
        <f>Назви!A3</f>
        <v>Процентна ставка, % річних</v>
      </c>
      <c r="C9" s="230">
        <f>Назви!B3</f>
        <v>0</v>
      </c>
      <c r="D9" s="230">
        <f>Назви!C3</f>
        <v>0</v>
      </c>
      <c r="E9" s="230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Лист2!A6</f>
        <v>Satellite_Грейс_6_18міс.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8" t="str">
        <f>Назви!A5</f>
        <v>Разовий страховий тариф, %</v>
      </c>
      <c r="C11" s="197">
        <f>Назви!B5</f>
        <v>0</v>
      </c>
      <c r="D11" s="197">
        <f>Назви!C5</f>
        <v>0</v>
      </c>
      <c r="E11" s="197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51"/>
      <c r="K12" s="37"/>
      <c r="L12" s="51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7" t="s">
        <v>41</v>
      </c>
      <c r="C13" s="187"/>
      <c r="D13" s="187"/>
      <c r="E13" s="188"/>
      <c r="F13" s="140">
        <f>VLOOKUP(H$2,Лист2!$A:$J,9,0)</f>
        <v>6</v>
      </c>
      <c r="G13" s="175"/>
      <c r="H13" s="173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6"/>
      <c r="B14" s="216"/>
      <c r="C14" s="216"/>
      <c r="D14" s="216"/>
      <c r="E14" s="216"/>
      <c r="F14" s="216"/>
      <c r="G14" s="216"/>
      <c r="H14" s="216"/>
      <c r="I14" s="216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7" t="s">
        <v>39</v>
      </c>
      <c r="C15" s="187"/>
      <c r="D15" s="187"/>
      <c r="E15" s="188"/>
      <c r="F15" s="156">
        <f>VLOOKUP(H$2,Лист2!$A:$J,10,0)</f>
        <v>0</v>
      </c>
      <c r="G15" s="175"/>
      <c r="H15" s="173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9"/>
      <c r="B16" s="189"/>
      <c r="C16" s="189"/>
      <c r="D16" s="189"/>
      <c r="E16" s="189"/>
      <c r="F16" s="189"/>
      <c r="G16" s="189"/>
      <c r="H16" s="189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7" t="s">
        <v>40</v>
      </c>
      <c r="C17" s="187"/>
      <c r="D17" s="187"/>
      <c r="E17" s="187"/>
      <c r="F17" s="134">
        <f>VLOOKUP(H$2,Лист2!$A:$K,11,0)</f>
        <v>0.09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9"/>
      <c r="B18" s="189"/>
      <c r="C18" s="189"/>
      <c r="D18" s="189"/>
      <c r="E18" s="189"/>
      <c r="F18" s="189"/>
      <c r="G18" s="189"/>
      <c r="H18" s="189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8" t="str">
        <f>Назви!A7</f>
        <v xml:space="preserve">Щомісячна плата за обслуговування кредитної заборгованості, % </v>
      </c>
      <c r="C19" s="197">
        <f>Назви!B7</f>
        <v>0</v>
      </c>
      <c r="D19" s="197">
        <f>Назви!C7</f>
        <v>0</v>
      </c>
      <c r="E19" s="198">
        <f>Назви!D7</f>
        <v>0</v>
      </c>
      <c r="F19" s="134">
        <f>VLOOKUP(H$2,Лист2!$A:$G,6,0)</f>
        <v>3.7999999999999999E-2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8" t="str">
        <f>Назви!A9</f>
        <v>Термін кредитування (міс.)</v>
      </c>
      <c r="C21" s="197">
        <f>Назви!B9</f>
        <v>0</v>
      </c>
      <c r="D21" s="197">
        <f>Назви!C9</f>
        <v>0</v>
      </c>
      <c r="E21" s="198">
        <f>Назви!D9</f>
        <v>0</v>
      </c>
      <c r="F21" s="141">
        <f>VLOOKUP(H$2,Лист2!$A:$G,3,0)</f>
        <v>18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54500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2" t="str">
        <f>Назви!A14</f>
        <v>Орієнтовні загальні витрати за кредитом, грн.</v>
      </c>
      <c r="C24" s="193"/>
      <c r="D24" s="193"/>
      <c r="E24" s="193"/>
      <c r="F24" s="160">
        <f>G100-F5</f>
        <v>29360.174999999988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2" t="str">
        <f>Назви!A16</f>
        <v>Орієнтовна загальна вартість кредиту, грн.</v>
      </c>
      <c r="C26" s="193">
        <f>Назви!B14</f>
        <v>0</v>
      </c>
      <c r="D26" s="193">
        <f>Назви!C14</f>
        <v>0</v>
      </c>
      <c r="E26" s="194">
        <f>Назви!D14</f>
        <v>0</v>
      </c>
      <c r="F26" s="144">
        <f>F5+F24</f>
        <v>79360.174999999988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2" t="str">
        <f>Назви!A18</f>
        <v>Реальна річна процентна ставка, %</v>
      </c>
      <c r="C28" s="193">
        <f>Назви!B16</f>
        <v>0</v>
      </c>
      <c r="D28" s="193">
        <f>Назви!C16</f>
        <v>0</v>
      </c>
      <c r="E28" s="194">
        <f>Назви!D16</f>
        <v>0</v>
      </c>
      <c r="F28" s="147">
        <f ca="1">XIRR(G39:G87,C39:C87)</f>
        <v>0.75120507478713994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5" t="str">
        <f>Назви!A19</f>
        <v>Інший термін</v>
      </c>
      <c r="C30" s="196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90" t="s">
        <v>32</v>
      </c>
      <c r="C31" s="191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90" t="s">
        <v>33</v>
      </c>
      <c r="C32" s="191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90" t="s">
        <v>9</v>
      </c>
      <c r="C33" s="191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90"/>
      <c r="C34" s="191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00" t="str">
        <f>Назви!A26</f>
        <v xml:space="preserve">ГРАФІК СПЛАТИ КРЕДИТУ </v>
      </c>
      <c r="C37" s="201"/>
      <c r="D37" s="201"/>
      <c r="E37" s="201"/>
      <c r="F37" s="201"/>
      <c r="G37" s="201"/>
      <c r="H37" s="202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3" t="str">
        <f>Назви!A27</f>
        <v>Місяць</v>
      </c>
      <c r="C38" s="204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3" t="str">
        <f>Назви!F27</f>
        <v>Загальна сума внесків до повернення в місяць, грн.</v>
      </c>
      <c r="H38" s="204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5" hidden="1" thickBot="1" x14ac:dyDescent="0.25">
      <c r="A39" s="1"/>
      <c r="B39" s="90">
        <v>0</v>
      </c>
      <c r="C39" s="159">
        <f ca="1">TODAY()</f>
        <v>45859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45890</v>
      </c>
      <c r="D40" s="19">
        <f>IF(B40&lt;=$F$21,$F$7/$F$21,0)</f>
        <v>3027.7777777777778</v>
      </c>
      <c r="E40" s="20">
        <f>IF(AND(B40&gt;F$13,B40&lt;=$F$21),F$7*F$19,0)</f>
        <v>0</v>
      </c>
      <c r="F40" s="182">
        <f>IF(B40&lt;=$F$21,F$7*F$9/12,0)</f>
        <v>0.45416666666666666</v>
      </c>
      <c r="G40" s="199">
        <f t="shared" ref="G40:G99" si="0">IF(B$40&lt;=F$21,D40+E40+F40,0)</f>
        <v>3028.2319444444447</v>
      </c>
      <c r="H40" s="199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45921</v>
      </c>
      <c r="D41" s="19">
        <f t="shared" ref="D41:D87" si="2">IF(B41&lt;=$F$21,$F$7/$F$21,0)</f>
        <v>3027.7777777777778</v>
      </c>
      <c r="E41" s="20">
        <f t="shared" ref="E41:E99" si="3">IF(AND(B41&gt;F$13,B41&lt;=$F$21),F$7*F$19,0)</f>
        <v>0</v>
      </c>
      <c r="F41" s="182">
        <f t="shared" ref="F41:F99" si="4">IF(B41&lt;=$F$21,F$7*F$9/12,0)</f>
        <v>0.45416666666666666</v>
      </c>
      <c r="G41" s="199">
        <f t="shared" si="0"/>
        <v>3028.2319444444447</v>
      </c>
      <c r="H41" s="199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45951</v>
      </c>
      <c r="D42" s="19">
        <f t="shared" si="2"/>
        <v>3027.7777777777778</v>
      </c>
      <c r="E42" s="20">
        <f t="shared" si="3"/>
        <v>0</v>
      </c>
      <c r="F42" s="182">
        <f t="shared" si="4"/>
        <v>0.45416666666666666</v>
      </c>
      <c r="G42" s="199">
        <f t="shared" si="0"/>
        <v>3028.2319444444447</v>
      </c>
      <c r="H42" s="199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45982</v>
      </c>
      <c r="D43" s="19">
        <f t="shared" si="2"/>
        <v>3027.7777777777778</v>
      </c>
      <c r="E43" s="20">
        <f t="shared" si="3"/>
        <v>0</v>
      </c>
      <c r="F43" s="182">
        <f t="shared" si="4"/>
        <v>0.45416666666666666</v>
      </c>
      <c r="G43" s="199">
        <f t="shared" si="0"/>
        <v>3028.2319444444447</v>
      </c>
      <c r="H43" s="199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46012</v>
      </c>
      <c r="D44" s="19">
        <f t="shared" si="2"/>
        <v>3027.7777777777778</v>
      </c>
      <c r="E44" s="20">
        <f t="shared" si="3"/>
        <v>0</v>
      </c>
      <c r="F44" s="182">
        <f t="shared" si="4"/>
        <v>0.45416666666666666</v>
      </c>
      <c r="G44" s="199">
        <f t="shared" si="0"/>
        <v>3028.2319444444447</v>
      </c>
      <c r="H44" s="199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46043</v>
      </c>
      <c r="D45" s="19">
        <f t="shared" si="2"/>
        <v>3027.7777777777778</v>
      </c>
      <c r="E45" s="20">
        <f t="shared" si="3"/>
        <v>0</v>
      </c>
      <c r="F45" s="182">
        <f t="shared" si="4"/>
        <v>0.45416666666666666</v>
      </c>
      <c r="G45" s="199">
        <f t="shared" si="0"/>
        <v>3028.2319444444447</v>
      </c>
      <c r="H45" s="199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46074</v>
      </c>
      <c r="D46" s="19">
        <f t="shared" si="2"/>
        <v>3027.7777777777778</v>
      </c>
      <c r="E46" s="20">
        <f t="shared" si="3"/>
        <v>2071</v>
      </c>
      <c r="F46" s="182">
        <f t="shared" si="4"/>
        <v>0.45416666666666666</v>
      </c>
      <c r="G46" s="199">
        <f t="shared" si="0"/>
        <v>5099.2319444444438</v>
      </c>
      <c r="H46" s="199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46102</v>
      </c>
      <c r="D47" s="19">
        <f t="shared" si="2"/>
        <v>3027.7777777777778</v>
      </c>
      <c r="E47" s="20">
        <f t="shared" si="3"/>
        <v>2071</v>
      </c>
      <c r="F47" s="182">
        <f t="shared" si="4"/>
        <v>0.45416666666666666</v>
      </c>
      <c r="G47" s="199">
        <f t="shared" si="0"/>
        <v>5099.2319444444438</v>
      </c>
      <c r="H47" s="199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46133</v>
      </c>
      <c r="D48" s="19">
        <f t="shared" si="2"/>
        <v>3027.7777777777778</v>
      </c>
      <c r="E48" s="20">
        <f t="shared" si="3"/>
        <v>2071</v>
      </c>
      <c r="F48" s="182">
        <f t="shared" si="4"/>
        <v>0.45416666666666666</v>
      </c>
      <c r="G48" s="199">
        <f t="shared" si="0"/>
        <v>5099.2319444444438</v>
      </c>
      <c r="H48" s="199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46163</v>
      </c>
      <c r="D49" s="19">
        <f t="shared" si="2"/>
        <v>3027.7777777777778</v>
      </c>
      <c r="E49" s="20">
        <f t="shared" si="3"/>
        <v>2071</v>
      </c>
      <c r="F49" s="182">
        <f t="shared" si="4"/>
        <v>0.45416666666666666</v>
      </c>
      <c r="G49" s="199">
        <f t="shared" si="0"/>
        <v>5099.2319444444438</v>
      </c>
      <c r="H49" s="199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46194</v>
      </c>
      <c r="D50" s="19">
        <f t="shared" si="2"/>
        <v>3027.7777777777778</v>
      </c>
      <c r="E50" s="20">
        <f t="shared" si="3"/>
        <v>2071</v>
      </c>
      <c r="F50" s="182">
        <f t="shared" si="4"/>
        <v>0.45416666666666666</v>
      </c>
      <c r="G50" s="199">
        <f t="shared" si="0"/>
        <v>5099.2319444444438</v>
      </c>
      <c r="H50" s="199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46224</v>
      </c>
      <c r="D51" s="19">
        <f t="shared" si="2"/>
        <v>3027.7777777777778</v>
      </c>
      <c r="E51" s="20">
        <f t="shared" si="3"/>
        <v>2071</v>
      </c>
      <c r="F51" s="182">
        <f t="shared" si="4"/>
        <v>0.45416666666666666</v>
      </c>
      <c r="G51" s="199">
        <f t="shared" si="0"/>
        <v>5099.2319444444438</v>
      </c>
      <c r="H51" s="199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46255</v>
      </c>
      <c r="D52" s="19">
        <f t="shared" si="2"/>
        <v>3027.7777777777778</v>
      </c>
      <c r="E52" s="20">
        <f t="shared" si="3"/>
        <v>2071</v>
      </c>
      <c r="F52" s="182">
        <f t="shared" si="4"/>
        <v>0.45416666666666666</v>
      </c>
      <c r="G52" s="199">
        <f t="shared" si="0"/>
        <v>5099.2319444444438</v>
      </c>
      <c r="H52" s="199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46286</v>
      </c>
      <c r="D53" s="19">
        <f t="shared" si="2"/>
        <v>3027.7777777777778</v>
      </c>
      <c r="E53" s="20">
        <f t="shared" si="3"/>
        <v>2071</v>
      </c>
      <c r="F53" s="182">
        <f t="shared" si="4"/>
        <v>0.45416666666666666</v>
      </c>
      <c r="G53" s="199">
        <f t="shared" si="0"/>
        <v>5099.2319444444438</v>
      </c>
      <c r="H53" s="199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46316</v>
      </c>
      <c r="D54" s="19">
        <f t="shared" si="2"/>
        <v>3027.7777777777778</v>
      </c>
      <c r="E54" s="20">
        <f t="shared" si="3"/>
        <v>2071</v>
      </c>
      <c r="F54" s="182">
        <f t="shared" si="4"/>
        <v>0.45416666666666666</v>
      </c>
      <c r="G54" s="199">
        <f t="shared" si="0"/>
        <v>5099.2319444444438</v>
      </c>
      <c r="H54" s="199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46347</v>
      </c>
      <c r="D55" s="19">
        <f t="shared" si="2"/>
        <v>3027.7777777777778</v>
      </c>
      <c r="E55" s="20">
        <f t="shared" si="3"/>
        <v>2071</v>
      </c>
      <c r="F55" s="182">
        <f t="shared" si="4"/>
        <v>0.45416666666666666</v>
      </c>
      <c r="G55" s="199">
        <f t="shared" si="0"/>
        <v>5099.2319444444438</v>
      </c>
      <c r="H55" s="199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46377</v>
      </c>
      <c r="D56" s="19">
        <f t="shared" si="2"/>
        <v>3027.7777777777778</v>
      </c>
      <c r="E56" s="20">
        <f t="shared" si="3"/>
        <v>2071</v>
      </c>
      <c r="F56" s="182">
        <f t="shared" si="4"/>
        <v>0.45416666666666666</v>
      </c>
      <c r="G56" s="199">
        <f t="shared" si="0"/>
        <v>5099.2319444444438</v>
      </c>
      <c r="H56" s="199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46408</v>
      </c>
      <c r="D57" s="19">
        <f t="shared" si="2"/>
        <v>3027.7777777777778</v>
      </c>
      <c r="E57" s="20">
        <f t="shared" si="3"/>
        <v>2071</v>
      </c>
      <c r="F57" s="182">
        <f t="shared" si="4"/>
        <v>0.45416666666666666</v>
      </c>
      <c r="G57" s="199">
        <f t="shared" si="0"/>
        <v>5099.2319444444438</v>
      </c>
      <c r="H57" s="199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46439</v>
      </c>
      <c r="D58" s="19">
        <f t="shared" si="2"/>
        <v>0</v>
      </c>
      <c r="E58" s="20">
        <f t="shared" si="3"/>
        <v>0</v>
      </c>
      <c r="F58" s="182">
        <f t="shared" si="4"/>
        <v>0</v>
      </c>
      <c r="G58" s="199">
        <f t="shared" si="0"/>
        <v>0</v>
      </c>
      <c r="H58" s="199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46467</v>
      </c>
      <c r="D59" s="19">
        <f t="shared" si="2"/>
        <v>0</v>
      </c>
      <c r="E59" s="20">
        <f t="shared" si="3"/>
        <v>0</v>
      </c>
      <c r="F59" s="182">
        <f t="shared" si="4"/>
        <v>0</v>
      </c>
      <c r="G59" s="199">
        <f t="shared" si="0"/>
        <v>0</v>
      </c>
      <c r="H59" s="199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46498</v>
      </c>
      <c r="D60" s="19">
        <f t="shared" si="2"/>
        <v>0</v>
      </c>
      <c r="E60" s="20">
        <f t="shared" si="3"/>
        <v>0</v>
      </c>
      <c r="F60" s="182">
        <f t="shared" si="4"/>
        <v>0</v>
      </c>
      <c r="G60" s="199">
        <f t="shared" si="0"/>
        <v>0</v>
      </c>
      <c r="H60" s="199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46528</v>
      </c>
      <c r="D61" s="19">
        <f t="shared" si="2"/>
        <v>0</v>
      </c>
      <c r="E61" s="20">
        <f t="shared" si="3"/>
        <v>0</v>
      </c>
      <c r="F61" s="182">
        <f t="shared" si="4"/>
        <v>0</v>
      </c>
      <c r="G61" s="199">
        <f t="shared" si="0"/>
        <v>0</v>
      </c>
      <c r="H61" s="199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46559</v>
      </c>
      <c r="D62" s="19">
        <f t="shared" si="2"/>
        <v>0</v>
      </c>
      <c r="E62" s="20">
        <f t="shared" si="3"/>
        <v>0</v>
      </c>
      <c r="F62" s="182">
        <f t="shared" si="4"/>
        <v>0</v>
      </c>
      <c r="G62" s="199">
        <f t="shared" si="0"/>
        <v>0</v>
      </c>
      <c r="H62" s="199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46589</v>
      </c>
      <c r="D63" s="19">
        <f t="shared" si="2"/>
        <v>0</v>
      </c>
      <c r="E63" s="20">
        <f t="shared" si="3"/>
        <v>0</v>
      </c>
      <c r="F63" s="182">
        <f t="shared" si="4"/>
        <v>0</v>
      </c>
      <c r="G63" s="199">
        <f t="shared" si="0"/>
        <v>0</v>
      </c>
      <c r="H63" s="199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46620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199">
        <f t="shared" si="0"/>
        <v>0</v>
      </c>
      <c r="H64" s="199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46651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199">
        <f t="shared" si="0"/>
        <v>0</v>
      </c>
      <c r="H65" s="199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46681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199">
        <f t="shared" si="0"/>
        <v>0</v>
      </c>
      <c r="H66" s="199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46712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199">
        <f t="shared" si="0"/>
        <v>0</v>
      </c>
      <c r="H67" s="199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46742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199">
        <f t="shared" si="0"/>
        <v>0</v>
      </c>
      <c r="H68" s="199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46773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199">
        <f t="shared" si="0"/>
        <v>0</v>
      </c>
      <c r="H69" s="199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46804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199">
        <f t="shared" si="0"/>
        <v>0</v>
      </c>
      <c r="H70" s="199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46833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199">
        <f t="shared" si="0"/>
        <v>0</v>
      </c>
      <c r="H71" s="199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46864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199">
        <f t="shared" si="0"/>
        <v>0</v>
      </c>
      <c r="H72" s="199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46894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199">
        <f t="shared" si="0"/>
        <v>0</v>
      </c>
      <c r="H73" s="199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46925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199">
        <f t="shared" si="0"/>
        <v>0</v>
      </c>
      <c r="H74" s="199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46955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199">
        <f t="shared" si="0"/>
        <v>0</v>
      </c>
      <c r="H75" s="199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46986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199">
        <f t="shared" si="0"/>
        <v>0</v>
      </c>
      <c r="H76" s="199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47017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199">
        <f t="shared" si="0"/>
        <v>0</v>
      </c>
      <c r="H77" s="199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47047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199">
        <f t="shared" si="0"/>
        <v>0</v>
      </c>
      <c r="H78" s="199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47078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199">
        <f t="shared" si="0"/>
        <v>0</v>
      </c>
      <c r="H79" s="199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47108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199">
        <f t="shared" si="0"/>
        <v>0</v>
      </c>
      <c r="H80" s="199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47139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199">
        <f t="shared" si="0"/>
        <v>0</v>
      </c>
      <c r="H81" s="199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47170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199">
        <f t="shared" si="0"/>
        <v>0</v>
      </c>
      <c r="H82" s="199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47198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199">
        <f t="shared" si="0"/>
        <v>0</v>
      </c>
      <c r="H83" s="199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47229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199">
        <f t="shared" si="0"/>
        <v>0</v>
      </c>
      <c r="H84" s="199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47259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199">
        <f t="shared" si="0"/>
        <v>0</v>
      </c>
      <c r="H85" s="199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47290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199">
        <f t="shared" si="0"/>
        <v>0</v>
      </c>
      <c r="H86" s="199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47320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199">
        <f t="shared" si="0"/>
        <v>0</v>
      </c>
      <c r="H87" s="199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47351</v>
      </c>
      <c r="D88" s="180">
        <f t="shared" ref="D88:D99" si="5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07">
        <f t="shared" si="0"/>
        <v>0</v>
      </c>
      <c r="H88" s="208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47382</v>
      </c>
      <c r="D89" s="107">
        <f t="shared" si="5"/>
        <v>0</v>
      </c>
      <c r="E89" s="108">
        <f t="shared" si="3"/>
        <v>0</v>
      </c>
      <c r="F89" s="182">
        <f t="shared" si="4"/>
        <v>0</v>
      </c>
      <c r="G89" s="209">
        <f t="shared" si="0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47412</v>
      </c>
      <c r="D90" s="107">
        <f t="shared" si="5"/>
        <v>0</v>
      </c>
      <c r="E90" s="108">
        <f t="shared" si="3"/>
        <v>0</v>
      </c>
      <c r="F90" s="182">
        <f t="shared" si="4"/>
        <v>0</v>
      </c>
      <c r="G90" s="209">
        <f t="shared" si="0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47443</v>
      </c>
      <c r="D91" s="107">
        <f t="shared" si="5"/>
        <v>0</v>
      </c>
      <c r="E91" s="108">
        <f t="shared" si="3"/>
        <v>0</v>
      </c>
      <c r="F91" s="182">
        <f t="shared" si="4"/>
        <v>0</v>
      </c>
      <c r="G91" s="209">
        <f t="shared" si="0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47473</v>
      </c>
      <c r="D92" s="107">
        <f t="shared" si="5"/>
        <v>0</v>
      </c>
      <c r="E92" s="108">
        <f t="shared" si="3"/>
        <v>0</v>
      </c>
      <c r="F92" s="182">
        <f t="shared" si="4"/>
        <v>0</v>
      </c>
      <c r="G92" s="209">
        <f t="shared" si="0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47504</v>
      </c>
      <c r="D93" s="107">
        <f t="shared" si="5"/>
        <v>0</v>
      </c>
      <c r="E93" s="108">
        <f t="shared" si="3"/>
        <v>0</v>
      </c>
      <c r="F93" s="182">
        <f t="shared" si="4"/>
        <v>0</v>
      </c>
      <c r="G93" s="209">
        <f t="shared" si="0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47535</v>
      </c>
      <c r="D94" s="107">
        <f t="shared" si="5"/>
        <v>0</v>
      </c>
      <c r="E94" s="108">
        <f t="shared" si="3"/>
        <v>0</v>
      </c>
      <c r="F94" s="182">
        <f t="shared" si="4"/>
        <v>0</v>
      </c>
      <c r="G94" s="209">
        <f t="shared" si="0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47563</v>
      </c>
      <c r="D95" s="107">
        <f t="shared" si="5"/>
        <v>0</v>
      </c>
      <c r="E95" s="108">
        <f t="shared" si="3"/>
        <v>0</v>
      </c>
      <c r="F95" s="182">
        <f t="shared" si="4"/>
        <v>0</v>
      </c>
      <c r="G95" s="209">
        <f t="shared" si="0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47594</v>
      </c>
      <c r="D96" s="107">
        <f t="shared" si="5"/>
        <v>0</v>
      </c>
      <c r="E96" s="108">
        <f t="shared" si="3"/>
        <v>0</v>
      </c>
      <c r="F96" s="182">
        <f t="shared" si="4"/>
        <v>0</v>
      </c>
      <c r="G96" s="209">
        <f t="shared" si="0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47624</v>
      </c>
      <c r="D97" s="107">
        <f t="shared" si="5"/>
        <v>0</v>
      </c>
      <c r="E97" s="108">
        <f t="shared" si="3"/>
        <v>0</v>
      </c>
      <c r="F97" s="182">
        <f t="shared" si="4"/>
        <v>0</v>
      </c>
      <c r="G97" s="209">
        <f t="shared" si="0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47655</v>
      </c>
      <c r="D98" s="107">
        <f t="shared" si="5"/>
        <v>0</v>
      </c>
      <c r="E98" s="108">
        <f t="shared" si="3"/>
        <v>0</v>
      </c>
      <c r="F98" s="182">
        <f t="shared" si="4"/>
        <v>0</v>
      </c>
      <c r="G98" s="209">
        <f t="shared" si="0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47685</v>
      </c>
      <c r="D99" s="107">
        <f t="shared" si="5"/>
        <v>0</v>
      </c>
      <c r="E99" s="108">
        <f t="shared" si="3"/>
        <v>0</v>
      </c>
      <c r="F99" s="182">
        <f t="shared" si="4"/>
        <v>0</v>
      </c>
      <c r="G99" s="209">
        <f t="shared" si="0"/>
        <v>0</v>
      </c>
      <c r="H99" s="210"/>
      <c r="I99" s="104"/>
      <c r="J99" s="104"/>
    </row>
    <row r="100" spans="1:19" s="4" customFormat="1" ht="16.5" thickBot="1" x14ac:dyDescent="0.25">
      <c r="A100" s="43"/>
      <c r="B100" s="205" t="s">
        <v>1</v>
      </c>
      <c r="C100" s="206"/>
      <c r="D100" s="93">
        <f>SUM(D40:D99)</f>
        <v>54500.000000000022</v>
      </c>
      <c r="E100" s="93">
        <f>SUM(E40:E99)</f>
        <v>24852</v>
      </c>
      <c r="F100" s="99">
        <f>SUM(F40:F99)</f>
        <v>8.1750000000000007</v>
      </c>
      <c r="G100" s="212">
        <f>SUM(G40:H99)</f>
        <v>79360.174999999988</v>
      </c>
      <c r="H100" s="213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1" t="s">
        <v>6</v>
      </c>
      <c r="F102" s="211"/>
      <c r="G102" s="211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VizV+MDfPKXeqEPm3J2fx+Qv1qPRxtQy510k5CURPGQZx7cmbo+/32l4aXGcte6+yxEQrGpWx0VON0Nn18+LPA==" saltValue="QNoScizB0cdRpJngYT/dxg==" spinCount="100000" sheet="1" selectLockedCells="1"/>
  <dataConsolidate/>
  <mergeCells count="93">
    <mergeCell ref="B100:C100"/>
    <mergeCell ref="G100:H100"/>
    <mergeCell ref="E102:G102"/>
    <mergeCell ref="G94:H94"/>
    <mergeCell ref="G95:H95"/>
    <mergeCell ref="G96:H96"/>
    <mergeCell ref="G97:H97"/>
    <mergeCell ref="G98:H98"/>
    <mergeCell ref="G99:H99"/>
    <mergeCell ref="G93:H93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G81:H81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69:H69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57:H57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45:H45"/>
    <mergeCell ref="B32:C32"/>
    <mergeCell ref="B33:C33"/>
    <mergeCell ref="B34:C34"/>
    <mergeCell ref="B37:H37"/>
    <mergeCell ref="B38:C38"/>
    <mergeCell ref="G38:H38"/>
    <mergeCell ref="G40:H40"/>
    <mergeCell ref="G41:H41"/>
    <mergeCell ref="G42:H42"/>
    <mergeCell ref="G43:H43"/>
    <mergeCell ref="G44:H44"/>
    <mergeCell ref="B31:C31"/>
    <mergeCell ref="A14:I14"/>
    <mergeCell ref="B15:E15"/>
    <mergeCell ref="A16:H16"/>
    <mergeCell ref="B17:E17"/>
    <mergeCell ref="A18:H18"/>
    <mergeCell ref="B19:E19"/>
    <mergeCell ref="B21:E21"/>
    <mergeCell ref="B24:E24"/>
    <mergeCell ref="B26:E26"/>
    <mergeCell ref="B28:E28"/>
    <mergeCell ref="B30:C30"/>
    <mergeCell ref="B13:E13"/>
    <mergeCell ref="H1:I1"/>
    <mergeCell ref="H2:I2"/>
    <mergeCell ref="F3:F4"/>
    <mergeCell ref="H3:I3"/>
    <mergeCell ref="B5:E5"/>
    <mergeCell ref="A6:H6"/>
    <mergeCell ref="B7:E7"/>
    <mergeCell ref="A8:I8"/>
    <mergeCell ref="B9:E9"/>
    <mergeCell ref="B11:E11"/>
    <mergeCell ref="A12:I12"/>
  </mergeCells>
  <dataValidations count="1">
    <dataValidation type="list" allowBlank="1" showInputMessage="1" showErrorMessage="1" sqref="H2:I2" xr:uid="{C818E829-810C-4A8E-8A77-44A95C6C55D9}">
      <formula1>$L$9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zoomScale="85" zoomScaleNormal="85" workbookViewId="0">
      <selection activeCell="B5" sqref="B5"/>
    </sheetView>
  </sheetViews>
  <sheetFormatPr defaultColWidth="9.140625" defaultRowHeight="12.75" x14ac:dyDescent="0.2"/>
  <cols>
    <col min="1" max="1" width="35.140625" style="116" bestFit="1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49400</v>
      </c>
      <c r="C4" s="151">
        <v>24</v>
      </c>
      <c r="D4" s="152">
        <v>1E-4</v>
      </c>
      <c r="E4" s="152">
        <v>0</v>
      </c>
      <c r="F4" s="152">
        <v>4.99E-2</v>
      </c>
      <c r="G4" s="151" t="str">
        <f>I$2&amp;" "&amp;B4&amp;" "&amp;H$2</f>
        <v>max. 49400 грн.</v>
      </c>
      <c r="H4" s="185">
        <f>B4+J4</f>
        <v>50000</v>
      </c>
      <c r="I4" s="151">
        <v>3</v>
      </c>
      <c r="J4" s="151">
        <v>600</v>
      </c>
      <c r="K4" s="184">
        <v>0</v>
      </c>
      <c r="L4" s="153">
        <f t="shared" ref="L4" si="0">D4/12/(1-1/POWER(1+D4/12,C4))*H4+H4*F4</f>
        <v>4578.5503541435482</v>
      </c>
      <c r="M4" s="154">
        <f>F4</f>
        <v>4.99E-2</v>
      </c>
      <c r="N4" s="154"/>
      <c r="O4" s="155">
        <v>0</v>
      </c>
      <c r="P4" s="151">
        <v>1000</v>
      </c>
    </row>
    <row r="5" spans="1:16" s="151" customFormat="1" x14ac:dyDescent="0.2">
      <c r="A5" s="151" t="s">
        <v>161</v>
      </c>
      <c r="B5" s="121">
        <v>130434.78</v>
      </c>
      <c r="C5" s="151">
        <v>24</v>
      </c>
      <c r="D5" s="152">
        <v>1E-4</v>
      </c>
      <c r="E5" s="152">
        <v>0</v>
      </c>
      <c r="F5" s="152">
        <v>3.5000000000000003E-2</v>
      </c>
      <c r="G5" s="151" t="str">
        <f>I$2&amp;" "&amp;B5&amp;" "&amp;H$2</f>
        <v>max. 130434,78 грн.</v>
      </c>
      <c r="H5" s="185">
        <f>B5+B5*K5</f>
        <v>149999.997</v>
      </c>
      <c r="I5" s="151">
        <v>10</v>
      </c>
      <c r="K5" s="184">
        <v>0.15</v>
      </c>
      <c r="L5" s="153">
        <f t="shared" ref="L5:L6" si="1">D5/12/(1-1/POWER(1+D5/12,C5))*H5+H5*F5</f>
        <v>11500.650832417623</v>
      </c>
      <c r="M5" s="154">
        <f>F5</f>
        <v>3.5000000000000003E-2</v>
      </c>
      <c r="N5" s="154"/>
      <c r="O5" s="155">
        <v>0</v>
      </c>
      <c r="P5" s="151">
        <v>1000</v>
      </c>
    </row>
    <row r="6" spans="1:16" x14ac:dyDescent="0.2">
      <c r="A6" s="151" t="s">
        <v>162</v>
      </c>
      <c r="B6" s="186">
        <v>91743.12</v>
      </c>
      <c r="C6" s="151">
        <v>18</v>
      </c>
      <c r="D6" s="152">
        <v>1E-4</v>
      </c>
      <c r="E6" s="152">
        <v>0</v>
      </c>
      <c r="F6" s="152">
        <v>3.7999999999999999E-2</v>
      </c>
      <c r="G6" s="151" t="str">
        <f t="shared" ref="G6" si="2">I$2&amp;" "&amp;B6&amp;" "&amp;H$2</f>
        <v>max. 91743,12 грн.</v>
      </c>
      <c r="H6" s="185">
        <f t="shared" ref="H6" si="3">B6+B6*K6</f>
        <v>100000.00079999999</v>
      </c>
      <c r="I6" s="151">
        <v>6</v>
      </c>
      <c r="J6" s="151"/>
      <c r="K6" s="184">
        <v>0.09</v>
      </c>
      <c r="L6" s="153">
        <f t="shared" si="1"/>
        <v>9355.9954555739696</v>
      </c>
      <c r="M6" s="154">
        <f t="shared" ref="M6" si="4">F6</f>
        <v>3.7999999999999999E-2</v>
      </c>
      <c r="N6" s="154"/>
      <c r="O6" s="155">
        <v>0</v>
      </c>
      <c r="P6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Satellite_0-3-24</vt:lpstr>
      <vt:lpstr>Satellite_0-10-24</vt:lpstr>
      <vt:lpstr>Перелік партнерів</vt:lpstr>
      <vt:lpstr>Назви</vt:lpstr>
      <vt:lpstr>Satellite_0-6-18</vt:lpstr>
      <vt:lpstr>Лист2</vt:lpstr>
      <vt:lpstr>'Satellite_0-10-24'!Область_друку</vt:lpstr>
      <vt:lpstr>'Satellite_0-3-24'!Область_друку</vt:lpstr>
      <vt:lpstr>'Satellite_0-6-18'!Область_друку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2025-07-21T13:19:32Z</dcterms:modified>
</cp:coreProperties>
</file>