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30428092-638B-4F87-A4C7-D14C9549FE05}" xr6:coauthVersionLast="47" xr6:coauthVersionMax="47" xr10:uidLastSave="{00000000-0000-0000-0000-000000000000}"/>
  <workbookProtection workbookAlgorithmName="SHA-512" workbookHashValue="uqW3D9q+iXtHTpH0/DNGNpJHk6mpzzDdXx78cfjKD0Rv/bnqLMRKfG/eiB4ewIW2SIWllDvJH6GjVDuHVmOUcw==" workbookSaltValue="O5+eLFT8iDaNjIEyknaghg==" workbookSpinCount="100000" lockStructure="1"/>
  <bookViews>
    <workbookView xWindow="-120" yWindow="-120" windowWidth="29040" windowHeight="15990" tabRatio="863" xr2:uid="{00000000-000D-0000-FFFF-FFFF00000000}"/>
  </bookViews>
  <sheets>
    <sheet name="Satellite_Ref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Satellite_Ref!$A$1:$I$103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8" i="164"/>
  <c r="L9" i="164"/>
  <c r="L10" i="164"/>
  <c r="M7" i="165"/>
  <c r="H7" i="165"/>
  <c r="L7" i="165" s="1"/>
  <c r="G7" i="165"/>
  <c r="M6" i="165"/>
  <c r="L6" i="165"/>
  <c r="H6" i="165"/>
  <c r="G6" i="165"/>
  <c r="B38" i="164"/>
  <c r="B37" i="164"/>
  <c r="E38" i="164"/>
  <c r="G4" i="165"/>
  <c r="H4" i="165"/>
  <c r="L4" i="165" s="1"/>
  <c r="M4" i="165"/>
  <c r="H5" i="165" l="1"/>
  <c r="E2" i="164"/>
  <c r="G2" i="164"/>
  <c r="G3" i="164"/>
  <c r="F2" i="164" l="1"/>
  <c r="H3" i="164"/>
  <c r="G39" i="164"/>
  <c r="M5" i="165" l="1"/>
  <c r="L5" i="165"/>
  <c r="G5" i="165"/>
  <c r="B28" i="164" l="1"/>
  <c r="B26" i="164"/>
  <c r="B24" i="164"/>
  <c r="B11" i="164"/>
  <c r="F17" i="164" l="1"/>
  <c r="L7" i="164"/>
  <c r="F21" i="164" l="1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D38" i="164"/>
  <c r="G38" i="164"/>
  <c r="F20" i="161"/>
  <c r="F76" i="164" l="1"/>
  <c r="F80" i="164"/>
  <c r="F84" i="164"/>
  <c r="F88" i="164"/>
  <c r="F92" i="164"/>
  <c r="F96" i="164"/>
  <c r="F77" i="164"/>
  <c r="F81" i="164"/>
  <c r="F85" i="164"/>
  <c r="F89" i="164"/>
  <c r="F93" i="164"/>
  <c r="F97" i="164"/>
  <c r="F78" i="164"/>
  <c r="F82" i="164"/>
  <c r="F86" i="164"/>
  <c r="F90" i="164"/>
  <c r="F94" i="164"/>
  <c r="F98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F64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F69" i="164" l="1"/>
  <c r="F67" i="164"/>
  <c r="F70" i="164"/>
  <c r="F73" i="164"/>
  <c r="F66" i="164"/>
  <c r="F72" i="164"/>
  <c r="F75" i="164"/>
  <c r="F65" i="164"/>
  <c r="F68" i="164"/>
  <c r="E64" i="164"/>
  <c r="E75" i="164"/>
  <c r="F71" i="164"/>
  <c r="F74" i="164"/>
  <c r="F41" i="164"/>
  <c r="F45" i="164"/>
  <c r="F49" i="164"/>
  <c r="F53" i="164"/>
  <c r="F57" i="164"/>
  <c r="F61" i="164"/>
  <c r="F48" i="164"/>
  <c r="F42" i="164"/>
  <c r="F46" i="164"/>
  <c r="F50" i="164"/>
  <c r="F54" i="164"/>
  <c r="F58" i="164"/>
  <c r="F62" i="164"/>
  <c r="F43" i="164"/>
  <c r="F47" i="164"/>
  <c r="F51" i="164"/>
  <c r="F55" i="164"/>
  <c r="F59" i="164"/>
  <c r="F63" i="164"/>
  <c r="F44" i="164"/>
  <c r="F52" i="164"/>
  <c r="F56" i="164"/>
  <c r="F60" i="164"/>
  <c r="F40" i="164"/>
  <c r="E71" i="164"/>
  <c r="D40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5" i="164" l="1"/>
  <c r="F100" i="164"/>
  <c r="G71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<sst xmlns="http://schemas.openxmlformats.org/spreadsheetml/2006/main" count="172" uniqueCount="164">
  <si>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</si>
  <si>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</si>
  <si>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</si>
  <si>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</si>
  <si>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</si>
  <si>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</si>
  <si>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</si>
  <si>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</si>
  <si>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</si>
  <si>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</si>
  <si>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</si>
  <si>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</si>
  <si>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</si>
  <si>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</si>
  <si>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</si>
  <si>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</si>
  <si>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</si>
  <si>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</si>
  <si>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</si>
  <si>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</si>
  <si>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</si>
  <si>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</si>
  <si>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</si>
  <si>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</si>
  <si>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</si>
  <si>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</si>
  <si>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</si>
  <si>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</si>
  <si>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</si>
  <si>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</si>
  <si>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</si>
  <si>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</si>
  <si>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</si>
  <si>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</si>
  <si>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</si>
  <si>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</si>
  <si>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</si>
  <si>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</si>
  <si>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</si>
  <si>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</si>
  <si>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</si>
  <si>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</si>
  <si>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</si>
  <si>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</si>
  <si>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</si>
  <si>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</si>
  <si>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</si>
  <si>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</si>
  <si>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</si>
  <si>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</si>
  <si>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</si>
  <si>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</si>
  <si>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</si>
  <si>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</si>
  <si>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</si>
  <si>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</si>
  <si>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</si>
  <si>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</si>
  <si>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</si>
  <si>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</si>
  <si>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</si>
  <si>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</si>
  <si>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</si>
  <si>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</si>
  <si>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</si>
  <si>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</si>
  <si>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</si>
  <si>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</si>
  <si>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</si>
  <si>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</si>
  <si>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</si>
  <si>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</si>
  <si>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</si>
  <si>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</si>
  <si>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</si>
  <si>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</si>
  <si>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</si>
  <si>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</si>
  <si>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</si>
  <si>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</si>
  <si>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</si>
  <si>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</si>
  <si>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</si>
  <si>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</si>
  <si>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</si>
  <si>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</si>
  <si>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</si>
  <si>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</si>
  <si>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</si>
  <si>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</si>
  <si>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</si>
  <si>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</si>
  <si>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</si>
  <si>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</si>
  <si>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</si>
  <si>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</si>
  <si>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</si>
  <si>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</si>
  <si>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</si>
  <si>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</si>
  <si>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</si>
  <si>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</si>
  <si>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</si>
  <si>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</si>
  <si>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</si>
  <si>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</si>
  <si>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</si>
  <si>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</si>
  <si>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</si>
  <si>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</si>
  <si>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</si>
  <si>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</si>
  <si>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</si>
  <si>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</si>
  <si>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</si>
  <si>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</si>
  <si>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</si>
  <si>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</si>
  <si>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</si>
  <si>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</si>
  <si>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</si>
  <si>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</si>
  <si>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</si>
  <si>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</si>
  <si>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</si>
  <si>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</si>
  <si>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</si>
  <si>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</si>
  <si>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</si>
  <si>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</si>
  <si>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</si>
  <si>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</si>
  <si>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</si>
  <si>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</si>
  <si>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</si>
  <si>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</si>
  <si>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</si>
  <si>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</si>
  <si>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</si>
  <si>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</si>
  <si>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</si>
  <si>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</si>
  <si>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</si>
  <si>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</si>
  <si>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</si>
  <si>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</si>
  <si>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</si>
  <si>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</si>
  <si>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</si>
  <si>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</si>
  <si>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</si>
  <si>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</si>
  <si>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</si>
  <si>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</si>
  <si>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</si>
  <si>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</si>
  <si>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</si>
  <si>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</si>
  <si>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</si>
  <si>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</si>
  <si>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Satellite_Ref_24міс.</t>
  </si>
  <si>
    <t>Satellite_Ref_36міс.</t>
  </si>
  <si>
    <t>Satellite_Ref_10міс.</t>
  </si>
  <si>
    <t>Satellite_Ref_20міс.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</si>
</sst>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28575</xdr:rowOff>
    </xdr:from>
    <xdr:to>
      <xdr:col>3</xdr:col>
      <xdr:colOff>971551</xdr:colOff>
      <xdr:row>3</xdr:row>
      <xdr:rowOff>95250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" y="28575"/>
          <a:ext cx="2286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VLOOKUP(Satellite_Ref!H2,Лист2!A:P,16,FALSE)</f>
        <v>1000</v>
      </c>
      <c r="F2" s="132">
        <f>VLOOKUP(H$2,Лист2!$A:$H,8,0)</f>
        <v>199999.99859999999</v>
      </c>
      <c r="G2" s="177">
        <f ca="1">TODAY()</f>
        <v>45859</v>
      </c>
      <c r="H2" s="219" t="s">
        <v>162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51000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199999.99859999999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51000</v>
      </c>
      <c r="G7" s="164"/>
      <c r="H7" s="165"/>
      <c r="I7" s="42"/>
      <c r="J7" s="4"/>
      <c r="K7" s="37"/>
      <c r="L7" s="51" t="str">
        <f>Лист2!A4</f>
        <v>Satellite_Ref_10міс.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Satellite_Ref_20міс.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Satellite_Ref_24міс.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Satellite_Ref_36міс.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0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0.02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2.9899999999999999E-2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10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51000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16253.249999999985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66253.249999999985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0.88912571668624873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5100</v>
      </c>
      <c r="E40" s="20">
        <f>IF(AND(B40&gt;F$13,B40&lt;=$F$21),F$7*F$19,0)</f>
        <v>1524.8999999999999</v>
      </c>
      <c r="F40" s="182">
        <f>IF(B40&lt;=$F$21,F$7*F$9/12,0)</f>
        <v>0.42500000000000004</v>
      </c>
      <c r="G40" s="198">
        <f t="shared" ref="G40:G71" si="0">IF(B$40&lt;=F$21,D40+E40+F40,0)</f>
        <v>6625.3249999999998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5100</v>
      </c>
      <c r="E41" s="20">
        <f t="shared" ref="E41:E99" si="3">IF(AND(B41&gt;F$13,B41&lt;=$F$21),F$7*F$19,0)</f>
        <v>1524.8999999999999</v>
      </c>
      <c r="F41" s="182">
        <f t="shared" ref="F41:F99" si="4">IF(B41&lt;=$F$21,F$7*F$9/12,0)</f>
        <v>0.42500000000000004</v>
      </c>
      <c r="G41" s="198">
        <f t="shared" si="0"/>
        <v>6625.3249999999998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5100</v>
      </c>
      <c r="E42" s="20">
        <f t="shared" si="3"/>
        <v>1524.8999999999999</v>
      </c>
      <c r="F42" s="182">
        <f t="shared" si="4"/>
        <v>0.42500000000000004</v>
      </c>
      <c r="G42" s="198">
        <f t="shared" si="0"/>
        <v>6625.3249999999998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5100</v>
      </c>
      <c r="E43" s="20">
        <f t="shared" si="3"/>
        <v>1524.8999999999999</v>
      </c>
      <c r="F43" s="182">
        <f t="shared" si="4"/>
        <v>0.42500000000000004</v>
      </c>
      <c r="G43" s="198">
        <f t="shared" si="0"/>
        <v>6625.3249999999998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5100</v>
      </c>
      <c r="E44" s="20">
        <f t="shared" si="3"/>
        <v>1524.8999999999999</v>
      </c>
      <c r="F44" s="182">
        <f t="shared" si="4"/>
        <v>0.42500000000000004</v>
      </c>
      <c r="G44" s="198">
        <f t="shared" si="0"/>
        <v>6625.3249999999998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5100</v>
      </c>
      <c r="E45" s="20">
        <f t="shared" si="3"/>
        <v>1524.8999999999999</v>
      </c>
      <c r="F45" s="182">
        <f t="shared" si="4"/>
        <v>0.42500000000000004</v>
      </c>
      <c r="G45" s="198">
        <f t="shared" si="0"/>
        <v>6625.3249999999998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5100</v>
      </c>
      <c r="E46" s="20">
        <f t="shared" si="3"/>
        <v>1524.8999999999999</v>
      </c>
      <c r="F46" s="182">
        <f t="shared" si="4"/>
        <v>0.42500000000000004</v>
      </c>
      <c r="G46" s="198">
        <f t="shared" si="0"/>
        <v>6625.3249999999998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5100</v>
      </c>
      <c r="E47" s="20">
        <f t="shared" si="3"/>
        <v>1524.8999999999999</v>
      </c>
      <c r="F47" s="182">
        <f t="shared" si="4"/>
        <v>0.42500000000000004</v>
      </c>
      <c r="G47" s="198">
        <f t="shared" si="0"/>
        <v>6625.3249999999998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5100</v>
      </c>
      <c r="E48" s="20">
        <f t="shared" si="3"/>
        <v>1524.8999999999999</v>
      </c>
      <c r="F48" s="182">
        <f t="shared" si="4"/>
        <v>0.42500000000000004</v>
      </c>
      <c r="G48" s="198">
        <f t="shared" si="0"/>
        <v>6625.3249999999998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5100</v>
      </c>
      <c r="E49" s="20">
        <f t="shared" si="3"/>
        <v>1524.8999999999999</v>
      </c>
      <c r="F49" s="182">
        <f t="shared" si="4"/>
        <v>0.42500000000000004</v>
      </c>
      <c r="G49" s="198">
        <f t="shared" si="0"/>
        <v>6625.3249999999998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0</v>
      </c>
      <c r="E50" s="20">
        <f t="shared" si="3"/>
        <v>0</v>
      </c>
      <c r="F50" s="182">
        <f t="shared" si="4"/>
        <v>0</v>
      </c>
      <c r="G50" s="198">
        <f t="shared" si="0"/>
        <v>0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0</v>
      </c>
      <c r="E51" s="20">
        <f t="shared" si="3"/>
        <v>0</v>
      </c>
      <c r="F51" s="182">
        <f t="shared" si="4"/>
        <v>0</v>
      </c>
      <c r="G51" s="198">
        <f t="shared" si="0"/>
        <v>0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0</v>
      </c>
      <c r="E52" s="20">
        <f t="shared" si="3"/>
        <v>0</v>
      </c>
      <c r="F52" s="182">
        <f t="shared" si="4"/>
        <v>0</v>
      </c>
      <c r="G52" s="198">
        <f t="shared" si="0"/>
        <v>0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0</v>
      </c>
      <c r="E53" s="20">
        <f t="shared" si="3"/>
        <v>0</v>
      </c>
      <c r="F53" s="182">
        <f t="shared" si="4"/>
        <v>0</v>
      </c>
      <c r="G53" s="198">
        <f t="shared" si="0"/>
        <v>0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182">
        <f t="shared" si="4"/>
        <v>0</v>
      </c>
      <c r="G54" s="198">
        <f t="shared" si="0"/>
        <v>0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182">
        <f t="shared" si="4"/>
        <v>0</v>
      </c>
      <c r="G55" s="198">
        <f t="shared" si="0"/>
        <v>0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182">
        <f t="shared" si="4"/>
        <v>0</v>
      </c>
      <c r="G56" s="198">
        <f t="shared" si="0"/>
        <v>0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182">
        <f t="shared" si="4"/>
        <v>0</v>
      </c>
      <c r="G57" s="198">
        <f t="shared" si="0"/>
        <v>0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51000</v>
      </c>
      <c r="E100" s="93">
        <f>SUM(E40:E99)</f>
        <v>15248.999999999998</v>
      </c>
      <c r="F100" s="99">
        <f>SUM(F40:F99)</f>
        <v>4.2499999999999991</v>
      </c>
      <c r="G100" s="211">
        <f>SUM(G40:H99)</f>
        <v>66253.249999999985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k0uC0erwhqP7QcDp1pV4hUxA1dVB4ibeCTT7/aDNvkRLTw3n6281+CXjoQHh8E4k/nHvnp7Mwdgrm8CP6933g==" saltValue="JxBNqOLQhu95pDG2pQOaP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$L$7:$L$10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B7" sqref="B7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13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162</v>
      </c>
      <c r="B4" s="121">
        <v>196078.43</v>
      </c>
      <c r="C4" s="151">
        <v>10</v>
      </c>
      <c r="D4" s="152">
        <v>1E-4</v>
      </c>
      <c r="E4" s="152">
        <v>0</v>
      </c>
      <c r="F4" s="152">
        <v>2.9899999999999999E-2</v>
      </c>
      <c r="G4" s="151" t="str">
        <f>I$2&amp;" "&amp;B4&amp;" "&amp;H$2</f>
        <v>max. 196078,43 грн.</v>
      </c>
      <c r="H4" s="184">
        <f>B4+B4*K4</f>
        <v>199999.99859999999</v>
      </c>
      <c r="I4" s="151">
        <v>0</v>
      </c>
      <c r="K4" s="185">
        <v>0.02</v>
      </c>
      <c r="L4" s="153">
        <f t="shared" ref="L4" si="0">D4/12/(1-1/POWER(1+D4/12,C4))*H4+H4*F4</f>
        <v>25980.916496169211</v>
      </c>
      <c r="M4" s="154">
        <f>F4</f>
        <v>2.9899999999999999E-2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163</v>
      </c>
      <c r="B5" s="121">
        <v>196078.43</v>
      </c>
      <c r="C5" s="151">
        <v>20</v>
      </c>
      <c r="D5" s="152">
        <v>1E-4</v>
      </c>
      <c r="E5" s="152">
        <v>0</v>
      </c>
      <c r="F5" s="152">
        <v>2.9899999999999999E-2</v>
      </c>
      <c r="G5" s="151" t="str">
        <f>I$2&amp;" "&amp;B5&amp;" "&amp;H$2</f>
        <v>max. 196078,43 грн.</v>
      </c>
      <c r="H5" s="184">
        <f t="shared" ref="H5" si="1">B5+B5*K5</f>
        <v>199999.99859999999</v>
      </c>
      <c r="I5" s="151">
        <v>0</v>
      </c>
      <c r="K5" s="185">
        <v>0.02</v>
      </c>
      <c r="L5" s="153">
        <f t="shared" ref="L5:L6" si="2">D5/12/(1-1/POWER(1+D5/12,C5))*H5+H5*F5</f>
        <v>15980.874911163417</v>
      </c>
      <c r="M5" s="154">
        <f>F5</f>
        <v>2.9899999999999999E-2</v>
      </c>
      <c r="N5" s="154"/>
      <c r="O5" s="155">
        <v>0</v>
      </c>
      <c r="P5" s="151">
        <v>1000</v>
      </c>
    </row>
    <row r="6" spans="1:16" s="151" customFormat="1" x14ac:dyDescent="0.2">
      <c r="A6" s="151" t="s">
        <v>160</v>
      </c>
      <c r="B6" s="121">
        <v>192307.69</v>
      </c>
      <c r="C6" s="151">
        <v>24</v>
      </c>
      <c r="D6" s="152">
        <v>1E-4</v>
      </c>
      <c r="E6" s="152">
        <v>0</v>
      </c>
      <c r="F6" s="152">
        <v>2.5999999999999999E-2</v>
      </c>
      <c r="G6" s="151" t="str">
        <f>I$2&amp;" "&amp;B6&amp;" "&amp;H$2</f>
        <v>max. 192307,69 грн.</v>
      </c>
      <c r="H6" s="184">
        <f>B6+B6*K6</f>
        <v>199999.9976</v>
      </c>
      <c r="I6" s="151">
        <v>0</v>
      </c>
      <c r="K6" s="185">
        <v>0.04</v>
      </c>
      <c r="L6" s="153">
        <f t="shared" si="2"/>
        <v>13534.201254163774</v>
      </c>
      <c r="M6" s="154">
        <f>F6</f>
        <v>2.5999999999999999E-2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161</v>
      </c>
      <c r="B7" s="121">
        <v>192307.69</v>
      </c>
      <c r="C7" s="151">
        <v>36</v>
      </c>
      <c r="D7" s="152">
        <v>1E-4</v>
      </c>
      <c r="E7" s="152">
        <v>0</v>
      </c>
      <c r="F7" s="152">
        <v>2.5999999999999999E-2</v>
      </c>
      <c r="G7" s="151" t="str">
        <f>I$2&amp;" "&amp;B7&amp;" "&amp;H$2</f>
        <v>max. 192307,69 грн.</v>
      </c>
      <c r="H7" s="184">
        <f t="shared" ref="H7" si="3">B7+B7*K7</f>
        <v>199999.9976</v>
      </c>
      <c r="I7" s="151">
        <v>0</v>
      </c>
      <c r="K7" s="185">
        <v>0.04</v>
      </c>
      <c r="L7" s="153">
        <f t="shared" ref="L7" si="4">D7/12/(1-1/POWER(1+D7/12,C7))*H7+H7*F7</f>
        <v>10756.411949565314</v>
      </c>
      <c r="M7" s="154">
        <f>F7</f>
        <v>2.5999999999999999E-2</v>
      </c>
      <c r="N7" s="154"/>
      <c r="O7" s="155">
        <v>0</v>
      </c>
      <c r="P7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Satellite_Ref</vt:lpstr>
      <vt:lpstr>Перелік партнерів</vt:lpstr>
      <vt:lpstr>Назви</vt:lpstr>
      <vt:lpstr>Лист2</vt:lpstr>
      <vt:lpstr>Satellite_Ref!Область_друку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2025-07-21T13:08:01Z</dcterms:modified>
</cp:coreProperties>
</file>