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Альтернатива\"/>
    </mc:Choice>
  </mc:AlternateContent>
  <xr:revisionPtr revIDLastSave="0" documentId="13_ncr:1_{5A7C57C4-CE9E-4636-8F60-7175EA3E46FF}" xr6:coauthVersionLast="47" xr6:coauthVersionMax="47" xr10:uidLastSave="{00000000-0000-0000-0000-000000000000}"/>
  <workbookProtection workbookAlgorithmName="SHA-512" workbookHashValue="+wjsEQUC7kf4qyHuzU+1bHAY9hM/VTBCP0wZ+hGvoiaF0ay1Xy/OxDnKl4tM6708M0DOrM7RlPJXNWYQNQKoGA==" workbookSaltValue="CcrfrFpDRzd4TijQBZXDxQ==" workbookSpinCount="100000" lockStructure="1"/>
  <bookViews>
    <workbookView xWindow="-120" yWindow="-120" windowWidth="29040" windowHeight="15990" tabRatio="831" xr2:uid="{00000000-000D-0000-FFFF-FFFF00000000}"/>
  </bookViews>
  <sheets>
    <sheet name="Альтернатива" sheetId="189" r:id="rId1"/>
    <sheet name="Лист2" sheetId="165" state="hidden" r:id="rId2"/>
    <sheet name="Назви" sheetId="161" state="hidden" r:id="rId3"/>
  </sheets>
  <definedNames>
    <definedName name="_xlnm._FilterDatabase" localSheetId="0" hidden="1">Альтернатива!$A$27:$H$89</definedName>
    <definedName name="_xlnm.Print_Area" localSheetId="0">Альтернатива!$A$1:$J$92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C29" i="189" s="1"/>
  <c r="K17" i="189"/>
  <c r="K18" i="189"/>
  <c r="K19" i="189"/>
  <c r="H5" i="165"/>
  <c r="K5" i="165" s="1"/>
  <c r="G5" i="165"/>
  <c r="F11" i="189"/>
  <c r="F7" i="189" s="1"/>
  <c r="H6" i="165"/>
  <c r="H7" i="165"/>
  <c r="H4" i="165"/>
  <c r="E16" i="189" l="1"/>
  <c r="K7" i="165" l="1"/>
  <c r="G7" i="165"/>
  <c r="K16" i="189" l="1"/>
  <c r="G4" i="165"/>
  <c r="K4" i="165"/>
  <c r="G6" i="165"/>
  <c r="K6" i="165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E3" i="189" l="1"/>
  <c r="E17" i="189" s="1"/>
  <c r="F88" i="189"/>
  <c r="D48" i="189"/>
  <c r="D78" i="189"/>
  <c r="F53" i="189"/>
  <c r="D29" i="189"/>
  <c r="D45" i="189"/>
  <c r="D64" i="189"/>
  <c r="D83" i="189"/>
  <c r="F42" i="189"/>
  <c r="F58" i="189"/>
  <c r="F76" i="189"/>
  <c r="D35" i="189"/>
  <c r="D54" i="189"/>
  <c r="D70" i="189"/>
  <c r="F29" i="189"/>
  <c r="F48" i="189"/>
  <c r="F66" i="189"/>
  <c r="F82" i="189"/>
  <c r="D71" i="189"/>
  <c r="F49" i="189"/>
  <c r="F79" i="189"/>
  <c r="D42" i="189"/>
  <c r="D61" i="189"/>
  <c r="D80" i="189"/>
  <c r="F36" i="189"/>
  <c r="F55" i="189"/>
  <c r="F73" i="189"/>
  <c r="D50" i="189"/>
  <c r="D51" i="189"/>
  <c r="F87" i="189"/>
  <c r="F40" i="189"/>
  <c r="D59" i="189"/>
  <c r="F34" i="189"/>
  <c r="F71" i="189"/>
  <c r="D56" i="189"/>
  <c r="F31" i="189"/>
  <c r="F68" i="189"/>
  <c r="D62" i="189"/>
  <c r="F37" i="189"/>
  <c r="F74" i="189"/>
  <c r="F30" i="189"/>
  <c r="D34" i="189"/>
  <c r="D69" i="189"/>
  <c r="F47" i="189"/>
  <c r="F81" i="189"/>
  <c r="F39" i="189"/>
  <c r="D44" i="189"/>
  <c r="F45" i="189"/>
  <c r="F83" i="189"/>
  <c r="D41" i="189"/>
  <c r="D79" i="189"/>
  <c r="F54" i="189"/>
  <c r="D31" i="189"/>
  <c r="D66" i="189"/>
  <c r="F44" i="189"/>
  <c r="F78" i="189"/>
  <c r="F41" i="189"/>
  <c r="D38" i="189"/>
  <c r="D73" i="189"/>
  <c r="F51" i="189"/>
  <c r="F85" i="189"/>
  <c r="F63" i="189"/>
  <c r="D55" i="189"/>
  <c r="D86" i="189"/>
  <c r="F61" i="189"/>
  <c r="D33" i="189"/>
  <c r="D49" i="189"/>
  <c r="D68" i="189"/>
  <c r="D87" i="189"/>
  <c r="F46" i="189"/>
  <c r="F62" i="189"/>
  <c r="F80" i="189"/>
  <c r="D39" i="189"/>
  <c r="D58" i="189"/>
  <c r="D77" i="189"/>
  <c r="F33" i="189"/>
  <c r="F52" i="189"/>
  <c r="F70" i="189"/>
  <c r="D32" i="189"/>
  <c r="D82" i="189"/>
  <c r="F57" i="189"/>
  <c r="D30" i="189"/>
  <c r="D46" i="189"/>
  <c r="D65" i="189"/>
  <c r="D84" i="189"/>
  <c r="F43" i="189"/>
  <c r="F59" i="189"/>
  <c r="F77" i="189"/>
  <c r="D74" i="189"/>
  <c r="D75" i="189"/>
  <c r="F18" i="189"/>
  <c r="F64" i="189"/>
  <c r="D36" i="189"/>
  <c r="D37" i="189"/>
  <c r="D72" i="189"/>
  <c r="F50" i="189"/>
  <c r="F84" i="189"/>
  <c r="D43" i="189"/>
  <c r="D81" i="189"/>
  <c r="F56" i="189"/>
  <c r="D40" i="189"/>
  <c r="F67" i="189"/>
  <c r="D53" i="189"/>
  <c r="D88" i="189"/>
  <c r="F65" i="189"/>
  <c r="F38" i="189"/>
  <c r="D52" i="189"/>
  <c r="D67" i="189"/>
  <c r="D60" i="189"/>
  <c r="F35" i="189"/>
  <c r="F72" i="189"/>
  <c r="D47" i="189"/>
  <c r="D85" i="189"/>
  <c r="F60" i="189"/>
  <c r="D63" i="189"/>
  <c r="F75" i="189"/>
  <c r="D57" i="189"/>
  <c r="F32" i="189"/>
  <c r="F69" i="189"/>
  <c r="F86" i="189"/>
  <c r="D76" i="189"/>
  <c r="C30" i="189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F3" i="189" l="1"/>
  <c r="E76" i="189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<sst xmlns="http://schemas.openxmlformats.org/spreadsheetml/2006/main" count="55" uniqueCount="50">
  <si>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</si>
  <si>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</si>
  <si>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</si>
  <si>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</si>
  <si>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</si>
  <si>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</si>
  <si>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</si>
  <si>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</si>
  <si>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</si>
  <si>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</si>
  <si>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</si>
  <si>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</si>
  <si>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</si>
  <si>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</si>
  <si>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</si>
  <si>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</si>
  <si>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</si>
  <si>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</si>
  <si>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</si>
  <si>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</si>
  <si>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</si>
  <si>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</si>
  <si>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</si>
  <si>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</si>
  <si>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</si>
  <si>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</si>
  <si>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</si>
  <si>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</si>
  <si>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</si>
  <si>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</si>
  <si>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</si>
  <si>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</si>
  <si>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</si>
  <si>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</si>
  <si>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</si>
  <si>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</si>
  <si>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</si>
  <si>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</si>
  <si>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</si>
  <si>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</si>
  <si>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</si>
  <si>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</si>
  <si>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</si>
  <si>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</si>
  <si>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</si>
  <si>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Разовий комісія, грн.</t>
  </si>
  <si>
    <t>Альтернатива, 60 міс.</t>
  </si>
  <si>
    <t>Альтернатива, 36 міс.</t>
  </si>
  <si>
    <t>Альтернатива, 24 міс.</t>
  </si>
  <si>
    <t>Альтернатива,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</si>
</sst>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2" fontId="0" fillId="10" borderId="1" xfId="24" applyNumberFormat="1" applyFont="1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4" fontId="3" fillId="3" borderId="1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154780</xdr:colOff>
      <xdr:row>0</xdr:row>
      <xdr:rowOff>17860</xdr:rowOff>
    </xdr:from>
    <xdr:to>
      <xdr:col>3</xdr:col>
      <xdr:colOff>1297781</xdr:colOff>
      <xdr:row>3</xdr:row>
      <xdr:rowOff>83344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4780" y="17860"/>
          <a:ext cx="2869407" cy="648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="160" zoomScaleNormal="70" zoomScaleSheetLayoutView="16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8" t="s">
        <v>39</v>
      </c>
      <c r="I1" s="168"/>
    </row>
    <row r="2" spans="1:29" ht="12.75" customHeight="1" x14ac:dyDescent="0.2">
      <c r="A2" s="2"/>
      <c r="B2" s="50"/>
      <c r="C2" s="50"/>
      <c r="D2" s="50"/>
      <c r="E2" s="108">
        <f>VLOOKUP(Альтернатива!H2,Лист2!A:N,14,FALSE)</f>
        <v>50000</v>
      </c>
      <c r="F2" s="100">
        <f>VLOOKUP(H$2,Лист2!$A:$G,2,0)</f>
        <v>500000</v>
      </c>
      <c r="G2" s="116">
        <f ca="1">TODAY()</f>
        <v>45869</v>
      </c>
      <c r="H2" s="169" t="s">
        <v>48</v>
      </c>
      <c r="I2" s="170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300000</v>
      </c>
      <c r="F3" s="171" t="str">
        <f>IF(E3="x","Збільшіть суму",IF(E3="y","Зменшіть суму",""))</f>
        <v/>
      </c>
      <c r="G3" s="57">
        <f>Назви!B33</f>
        <v>30.4</v>
      </c>
      <c r="H3" s="172" t="str">
        <f>VLOOKUP(H$2,Лист2!$A:$G,7,0)</f>
        <v>max. 500000 грн.</v>
      </c>
      <c r="I3" s="173"/>
      <c r="J3" s="42"/>
    </row>
    <row r="4" spans="1:29" ht="9" customHeight="1" thickBot="1" x14ac:dyDescent="0.25">
      <c r="A4" s="2"/>
      <c r="B4" s="2"/>
      <c r="C4" s="2"/>
      <c r="D4" s="2"/>
      <c r="E4" s="108"/>
      <c r="F4" s="171"/>
      <c r="G4" s="35"/>
      <c r="H4" s="124"/>
      <c r="I4" s="42"/>
      <c r="J4" s="42"/>
      <c r="K4" s="54"/>
    </row>
    <row r="5" spans="1:29" ht="21" customHeight="1" thickBot="1" x14ac:dyDescent="0.25">
      <c r="A5" s="1"/>
      <c r="B5" s="174" t="s">
        <v>44</v>
      </c>
      <c r="C5" s="175"/>
      <c r="D5" s="175"/>
      <c r="E5" s="176"/>
      <c r="F5" s="134">
        <v>300000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62" t="s">
        <v>40</v>
      </c>
      <c r="C7" s="163"/>
      <c r="D7" s="163"/>
      <c r="E7" s="164"/>
      <c r="F7" s="13">
        <f>F5+F11</f>
        <v>300000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62" t="str">
        <f>Назви!A3</f>
        <v>Процентна ставка, % річних</v>
      </c>
      <c r="C9" s="163">
        <f>Назви!B3</f>
        <v>0</v>
      </c>
      <c r="D9" s="163">
        <f>Назви!C3</f>
        <v>0</v>
      </c>
      <c r="E9" s="164">
        <f>Назви!D3</f>
        <v>0</v>
      </c>
      <c r="F9" s="32">
        <f>VLOOKUP(H$2,Лист2!$A:$G,4,0)</f>
        <v>0.45</v>
      </c>
      <c r="G9" s="154"/>
      <c r="H9" s="154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62" t="str">
        <f>Назви!A5</f>
        <v>Разовий комісія, грн.</v>
      </c>
      <c r="C11" s="163">
        <f>Назви!B5</f>
        <v>0</v>
      </c>
      <c r="D11" s="163">
        <f>Назви!C5</f>
        <v>0</v>
      </c>
      <c r="E11" s="164">
        <f>Назви!D5</f>
        <v>0</v>
      </c>
      <c r="F11" s="143">
        <f>VLOOKUP(H$2,Лист2!$A:$G,5,0)</f>
        <v>0</v>
      </c>
      <c r="G11" s="154"/>
      <c r="H11" s="154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62" t="str">
        <f>Назви!A7</f>
        <v xml:space="preserve">Щомісячна плата за обслуговування кредитної заборгованості, % </v>
      </c>
      <c r="C13" s="163">
        <f>Назви!B7</f>
        <v>0</v>
      </c>
      <c r="D13" s="163">
        <f>Назви!C7</f>
        <v>0</v>
      </c>
      <c r="E13" s="164">
        <f>Назви!D7</f>
        <v>0</v>
      </c>
      <c r="F13" s="32">
        <f>VLOOKUP(H$2,Лист2!$A:$G,6,0)</f>
        <v>0</v>
      </c>
      <c r="G13" s="154"/>
      <c r="H13" s="154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/>
    </row>
    <row r="15" spans="1:29" x14ac:dyDescent="0.2">
      <c r="A15" s="1"/>
      <c r="B15" s="162" t="str">
        <f>Назви!A9</f>
        <v>Термін кредитування (міс.)</v>
      </c>
      <c r="C15" s="163">
        <f>Назви!B9</f>
        <v>0</v>
      </c>
      <c r="D15" s="163">
        <f>Назви!C9</f>
        <v>0</v>
      </c>
      <c r="E15" s="164">
        <f>Назви!D9</f>
        <v>0</v>
      </c>
      <c r="F15" s="53">
        <f>VLOOKUP(H$2,Лист2!$A:$G,3,0)</f>
        <v>24</v>
      </c>
      <c r="G15" s="154"/>
      <c r="H15" s="154"/>
      <c r="I15" s="3"/>
      <c r="J15" s="43"/>
      <c r="K15" s="113"/>
    </row>
    <row r="16" spans="1:29" s="12" customFormat="1" ht="7.9" customHeight="1" x14ac:dyDescent="0.2">
      <c r="A16" s="1"/>
      <c r="B16" s="10"/>
      <c r="C16" s="48"/>
      <c r="D16" s="94"/>
      <c r="E16" s="114">
        <f>F11</f>
        <v>0</v>
      </c>
      <c r="F16" s="50"/>
      <c r="G16" s="96"/>
      <c r="H16" s="11"/>
      <c r="I16" s="1"/>
      <c r="J16" s="44"/>
      <c r="K16" s="113" t="str">
        <f>Лист2!A4</f>
        <v>Альтернатива, 60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300000</v>
      </c>
      <c r="F17" s="50"/>
      <c r="G17" s="96"/>
      <c r="H17" s="11"/>
      <c r="I17" s="1"/>
      <c r="J17" s="99"/>
      <c r="K17" s="113" t="str">
        <f>Лист2!A5</f>
        <v>Альтернатива, 36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1" t="str">
        <f>Назви!A12</f>
        <v>Орієнтовний платіж, грн.</v>
      </c>
      <c r="C18" s="152">
        <f>Назви!B12</f>
        <v>0</v>
      </c>
      <c r="D18" s="152">
        <f>Назви!C12</f>
        <v>0</v>
      </c>
      <c r="E18" s="153">
        <f>Назви!D12</f>
        <v>0</v>
      </c>
      <c r="F18" s="13">
        <f>PMT(F9/12,F15,-F7)</f>
        <v>19175.67100308153</v>
      </c>
      <c r="G18" s="165"/>
      <c r="H18" s="166"/>
      <c r="I18" s="105"/>
      <c r="J18" s="44"/>
      <c r="K18" s="113" t="str">
        <f>Лист2!A6</f>
        <v>Альтернатива, 24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 t="str">
        <f>Лист2!A7</f>
        <v>Альтернатива, 12 міс.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1" t="str">
        <f>Назви!A14</f>
        <v>Орієнтовні загальні витрати за кредитом, грн.</v>
      </c>
      <c r="C20" s="152">
        <f>Назви!B14</f>
        <v>0</v>
      </c>
      <c r="D20" s="152">
        <f>Назви!C14</f>
        <v>0</v>
      </c>
      <c r="E20" s="153">
        <f>Назви!D14</f>
        <v>0</v>
      </c>
      <c r="F20" s="13">
        <f>G89-E3</f>
        <v>160216.1040739569</v>
      </c>
      <c r="G20" s="167"/>
      <c r="H20" s="167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1" t="str">
        <f>Назви!A16</f>
        <v>Орієнтовна загальна вартість кредиту, грн.</v>
      </c>
      <c r="C22" s="152">
        <f>Назви!B16</f>
        <v>0</v>
      </c>
      <c r="D22" s="152">
        <f>Назви!C16</f>
        <v>0</v>
      </c>
      <c r="E22" s="153">
        <f>Назви!D16</f>
        <v>0</v>
      </c>
      <c r="F22" s="13">
        <f>E3+F20</f>
        <v>460216.1040739569</v>
      </c>
      <c r="G22" s="154"/>
      <c r="H22" s="154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1" t="str">
        <f>Назви!A18</f>
        <v>Орієнтовна реальна річна процентна ставка, %</v>
      </c>
      <c r="C24" s="152"/>
      <c r="D24" s="152"/>
      <c r="E24" s="153"/>
      <c r="F24" s="32">
        <f ca="1">XIRR(G28:G88,C28:C88)</f>
        <v>0.55313281416893012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5" t="str">
        <f>Назви!A27</f>
        <v>Орієнтовний порядок повернення кредиту</v>
      </c>
      <c r="C26" s="156"/>
      <c r="D26" s="156"/>
      <c r="E26" s="156"/>
      <c r="F26" s="156"/>
      <c r="G26" s="156"/>
      <c r="H26" s="157"/>
      <c r="I26" s="3"/>
      <c r="K26" s="113"/>
    </row>
    <row r="27" spans="1:29" ht="31.15" customHeight="1" thickBot="1" x14ac:dyDescent="0.25">
      <c r="A27" s="1"/>
      <c r="B27" s="122" t="s">
        <v>38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8" t="str">
        <f>Назви!F28</f>
        <v>Сума платежу за розрахунковий період, грн.</v>
      </c>
      <c r="H27" s="159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45869</v>
      </c>
      <c r="D28" s="92"/>
      <c r="E28" s="93"/>
      <c r="F28" s="92"/>
      <c r="G28" s="160">
        <f>-1*E3</f>
        <v>-300000</v>
      </c>
      <c r="H28" s="161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45900</v>
      </c>
      <c r="D29" s="129">
        <f>IFERROR(PPMT($F$9/12,B29,$F$15,-$F$7),0)</f>
        <v>7925.6710030815293</v>
      </c>
      <c r="E29" s="139">
        <f>IF(B29&lt;=$F$15,(E$17*(VLOOKUP($H$2,Лист2!$A:$N,12,0)-(B29-1)*VLOOKUP($H$2,Лист2!$A:$N,13,0))),0)</f>
        <v>0</v>
      </c>
      <c r="F29" s="130">
        <f>IFERROR(IPMT($F$9/12,B29,$F$15,-$F$7),0)</f>
        <v>11250</v>
      </c>
      <c r="G29" s="149">
        <f>SUM(D29:F29)</f>
        <v>19175.67100308153</v>
      </c>
      <c r="H29" s="149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45931</v>
      </c>
      <c r="D30" s="129">
        <f t="shared" ref="D30:D88" si="1">IFERROR(PPMT($F$9/12,B30,$F$15,-$F$7),0)</f>
        <v>8222.8836656970871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IFERROR(IPMT($F$9/12,B30,$F$15,-$F$7),0)</f>
        <v>10952.787337384443</v>
      </c>
      <c r="G30" s="149">
        <f t="shared" ref="G30:G88" si="3">SUM(D30:F30)</f>
        <v>19175.67100308153</v>
      </c>
      <c r="H30" s="149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45962</v>
      </c>
      <c r="D31" s="129">
        <f t="shared" si="1"/>
        <v>8531.2418031607267</v>
      </c>
      <c r="E31" s="140">
        <f>IF(B31&lt;=$F$15,(E$17*(VLOOKUP($H$2,Лист2!$A:$N,12,0)-(B31-1)*VLOOKUP($H$2,Лист2!$A:$N,13,0))),0)</f>
        <v>0</v>
      </c>
      <c r="F31" s="130">
        <f t="shared" si="2"/>
        <v>10644.429199920804</v>
      </c>
      <c r="G31" s="149">
        <f t="shared" si="3"/>
        <v>19175.67100308153</v>
      </c>
      <c r="H31" s="149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45992</v>
      </c>
      <c r="D32" s="129">
        <f t="shared" si="1"/>
        <v>8851.1633707792553</v>
      </c>
      <c r="E32" s="140">
        <f>IF(B32&lt;=$F$15,(E$17*(VLOOKUP($H$2,Лист2!$A:$N,12,0)-(B32-1)*VLOOKUP($H$2,Лист2!$A:$N,13,0))),0)</f>
        <v>0</v>
      </c>
      <c r="F32" s="130">
        <f t="shared" si="2"/>
        <v>10324.507632302273</v>
      </c>
      <c r="G32" s="149">
        <f t="shared" si="3"/>
        <v>19175.67100308153</v>
      </c>
      <c r="H32" s="149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46023</v>
      </c>
      <c r="D33" s="129">
        <f t="shared" si="1"/>
        <v>9183.0819971834771</v>
      </c>
      <c r="E33" s="140">
        <f>IF(B33&lt;=$F$15,(E$17*(VLOOKUP($H$2,Лист2!$A:$N,12,0)-(B33-1)*VLOOKUP($H$2,Лист2!$A:$N,13,0))),0)</f>
        <v>0</v>
      </c>
      <c r="F33" s="130">
        <f t="shared" si="2"/>
        <v>9992.5890058980531</v>
      </c>
      <c r="G33" s="149">
        <f t="shared" si="3"/>
        <v>19175.67100308153</v>
      </c>
      <c r="H33" s="149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46054</v>
      </c>
      <c r="D34" s="129">
        <f t="shared" si="1"/>
        <v>9527.4475720778573</v>
      </c>
      <c r="E34" s="140">
        <f>IF(B34&lt;=$F$15,(E$17*(VLOOKUP($H$2,Лист2!$A:$N,12,0)-(B34-1)*VLOOKUP($H$2,Лист2!$A:$N,13,0))),0)</f>
        <v>0</v>
      </c>
      <c r="F34" s="130">
        <f t="shared" si="2"/>
        <v>9648.2234310036729</v>
      </c>
      <c r="G34" s="149">
        <f t="shared" si="3"/>
        <v>19175.67100308153</v>
      </c>
      <c r="H34" s="149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46082</v>
      </c>
      <c r="D35" s="129">
        <f t="shared" si="1"/>
        <v>9884.7268560307766</v>
      </c>
      <c r="E35" s="140">
        <f>IF(B35&lt;=$F$15,(E$17*(VLOOKUP($H$2,Лист2!$A:$N,12,0)-(B35-1)*VLOOKUP($H$2,Лист2!$A:$N,13,0))),0)</f>
        <v>0</v>
      </c>
      <c r="F35" s="130">
        <f t="shared" si="2"/>
        <v>9290.9441470507536</v>
      </c>
      <c r="G35" s="149">
        <f t="shared" si="3"/>
        <v>19175.67100308153</v>
      </c>
      <c r="H35" s="149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46113</v>
      </c>
      <c r="D36" s="129">
        <f t="shared" si="1"/>
        <v>10255.40411313193</v>
      </c>
      <c r="E36" s="140">
        <f>IF(B36&lt;=$F$15,(E$17*(VLOOKUP($H$2,Лист2!$A:$N,12,0)-(B36-1)*VLOOKUP($H$2,Лист2!$A:$N,13,0))),0)</f>
        <v>0</v>
      </c>
      <c r="F36" s="130">
        <f t="shared" si="2"/>
        <v>8920.2668899496002</v>
      </c>
      <c r="G36" s="149">
        <f t="shared" si="3"/>
        <v>19175.67100308153</v>
      </c>
      <c r="H36" s="149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46143</v>
      </c>
      <c r="D37" s="129">
        <f t="shared" si="1"/>
        <v>10639.981767374378</v>
      </c>
      <c r="E37" s="140">
        <f>IF(B37&lt;=$F$15,(E$17*(VLOOKUP($H$2,Лист2!$A:$N,12,0)-(B37-1)*VLOOKUP($H$2,Лист2!$A:$N,13,0))),0)</f>
        <v>0</v>
      </c>
      <c r="F37" s="130">
        <f t="shared" si="2"/>
        <v>8535.689235707152</v>
      </c>
      <c r="G37" s="149">
        <f t="shared" si="3"/>
        <v>19175.67100308153</v>
      </c>
      <c r="H37" s="149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46174</v>
      </c>
      <c r="D38" s="129">
        <f t="shared" si="1"/>
        <v>11038.981083650917</v>
      </c>
      <c r="E38" s="140">
        <f>IF(B38&lt;=$F$15,(E$17*(VLOOKUP($H$2,Лист2!$A:$N,12,0)-(B38-1)*VLOOKUP($H$2,Лист2!$A:$N,13,0))),0)</f>
        <v>0</v>
      </c>
      <c r="F38" s="130">
        <f t="shared" si="2"/>
        <v>8136.6899194306134</v>
      </c>
      <c r="G38" s="149">
        <f t="shared" si="3"/>
        <v>19175.67100308153</v>
      </c>
      <c r="H38" s="149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46204</v>
      </c>
      <c r="D39" s="129">
        <f t="shared" si="1"/>
        <v>11452.942874287828</v>
      </c>
      <c r="E39" s="140">
        <f>IF(B39&lt;=$F$15,(E$17*(VLOOKUP($H$2,Лист2!$A:$N,12,0)-(B39-1)*VLOOKUP($H$2,Лист2!$A:$N,13,0))),0)</f>
        <v>0</v>
      </c>
      <c r="F39" s="130">
        <f t="shared" si="2"/>
        <v>7722.7281287937039</v>
      </c>
      <c r="G39" s="149">
        <f t="shared" si="3"/>
        <v>19175.67100308153</v>
      </c>
      <c r="H39" s="149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46235</v>
      </c>
      <c r="D40" s="129">
        <f t="shared" si="1"/>
        <v>11882.428232073622</v>
      </c>
      <c r="E40" s="140">
        <f>IF(B40&lt;=$F$15,(E$17*(VLOOKUP($H$2,Лист2!$A:$N,12,0)-(B40-1)*VLOOKUP($H$2,Лист2!$A:$N,13,0))),0)</f>
        <v>0</v>
      </c>
      <c r="F40" s="130">
        <f t="shared" si="2"/>
        <v>7293.2427710079091</v>
      </c>
      <c r="G40" s="149">
        <f t="shared" si="3"/>
        <v>19175.67100308153</v>
      </c>
      <c r="H40" s="149"/>
      <c r="I40" s="3"/>
    </row>
    <row r="41" spans="1:11" x14ac:dyDescent="0.2">
      <c r="A41" s="1">
        <v>13</v>
      </c>
      <c r="B41" s="101">
        <v>13</v>
      </c>
      <c r="C41" s="138">
        <f t="shared" ca="1" si="0"/>
        <v>46266</v>
      </c>
      <c r="D41" s="129">
        <f t="shared" si="1"/>
        <v>12328.019290776379</v>
      </c>
      <c r="E41" s="140">
        <f>IF(B41&lt;=$F$15,(E$17*(VLOOKUP($H$2,Лист2!$A:$N,12,0)-(B41-1)*VLOOKUP($H$2,Лист2!$A:$N,13,0))),0)</f>
        <v>0</v>
      </c>
      <c r="F41" s="130">
        <f t="shared" si="2"/>
        <v>6847.6517123051481</v>
      </c>
      <c r="G41" s="149">
        <f t="shared" si="3"/>
        <v>19175.671003081527</v>
      </c>
      <c r="H41" s="149"/>
      <c r="I41" s="3"/>
    </row>
    <row r="42" spans="1:11" x14ac:dyDescent="0.2">
      <c r="A42" s="1">
        <v>14</v>
      </c>
      <c r="B42" s="101">
        <v>14</v>
      </c>
      <c r="C42" s="138">
        <f t="shared" ca="1" si="0"/>
        <v>46296</v>
      </c>
      <c r="D42" s="129">
        <f t="shared" si="1"/>
        <v>12790.320014180495</v>
      </c>
      <c r="E42" s="140">
        <f>IF(B42&lt;=$F$15,(E$17*(VLOOKUP($H$2,Лист2!$A:$N,12,0)-(B42-1)*VLOOKUP($H$2,Лист2!$A:$N,13,0))),0)</f>
        <v>0</v>
      </c>
      <c r="F42" s="130">
        <f t="shared" si="2"/>
        <v>6385.3509889010356</v>
      </c>
      <c r="G42" s="149">
        <f t="shared" si="3"/>
        <v>19175.67100308153</v>
      </c>
      <c r="H42" s="149"/>
      <c r="I42" s="3"/>
    </row>
    <row r="43" spans="1:11" x14ac:dyDescent="0.2">
      <c r="A43" s="1">
        <v>15</v>
      </c>
      <c r="B43" s="101">
        <v>15</v>
      </c>
      <c r="C43" s="138">
        <f t="shared" ca="1" si="0"/>
        <v>46327</v>
      </c>
      <c r="D43" s="129">
        <f t="shared" si="1"/>
        <v>13269.957014712263</v>
      </c>
      <c r="E43" s="140">
        <f>IF(B43&lt;=$F$15,(E$17*(VLOOKUP($H$2,Лист2!$A:$N,12,0)-(B43-1)*VLOOKUP($H$2,Лист2!$A:$N,13,0))),0)</f>
        <v>0</v>
      </c>
      <c r="F43" s="130">
        <f t="shared" si="2"/>
        <v>5905.7139883692662</v>
      </c>
      <c r="G43" s="149">
        <f t="shared" si="3"/>
        <v>19175.67100308153</v>
      </c>
      <c r="H43" s="149"/>
      <c r="I43" s="3"/>
    </row>
    <row r="44" spans="1:11" x14ac:dyDescent="0.2">
      <c r="A44" s="1">
        <v>16</v>
      </c>
      <c r="B44" s="101">
        <v>16</v>
      </c>
      <c r="C44" s="138">
        <f t="shared" ca="1" si="0"/>
        <v>46357</v>
      </c>
      <c r="D44" s="129">
        <f t="shared" si="1"/>
        <v>13767.580402763973</v>
      </c>
      <c r="E44" s="140">
        <f>IF(B44&lt;=$F$15,(E$17*(VLOOKUP($H$2,Лист2!$A:$N,12,0)-(B44-1)*VLOOKUP($H$2,Лист2!$A:$N,13,0))),0)</f>
        <v>0</v>
      </c>
      <c r="F44" s="130">
        <f t="shared" si="2"/>
        <v>5408.090600317556</v>
      </c>
      <c r="G44" s="149">
        <f t="shared" si="3"/>
        <v>19175.67100308153</v>
      </c>
      <c r="H44" s="149"/>
      <c r="I44" s="3"/>
    </row>
    <row r="45" spans="1:11" x14ac:dyDescent="0.2">
      <c r="A45" s="1">
        <v>22</v>
      </c>
      <c r="B45" s="101">
        <v>17</v>
      </c>
      <c r="C45" s="138">
        <f t="shared" ca="1" si="0"/>
        <v>46388</v>
      </c>
      <c r="D45" s="129">
        <f t="shared" si="1"/>
        <v>14283.864667867623</v>
      </c>
      <c r="E45" s="140">
        <f>IF(B45&lt;=$F$15,(E$17*(VLOOKUP($H$2,Лист2!$A:$N,12,0)-(B45-1)*VLOOKUP($H$2,Лист2!$A:$N,13,0))),0)</f>
        <v>0</v>
      </c>
      <c r="F45" s="130">
        <f t="shared" si="2"/>
        <v>4891.806335213907</v>
      </c>
      <c r="G45" s="149">
        <f t="shared" si="3"/>
        <v>19175.67100308153</v>
      </c>
      <c r="H45" s="149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46419</v>
      </c>
      <c r="D46" s="129">
        <f t="shared" si="1"/>
        <v>14819.509592912658</v>
      </c>
      <c r="E46" s="140">
        <f>IF(B46&lt;=$F$15,(E$17*(VLOOKUP($H$2,Лист2!$A:$N,12,0)-(B46-1)*VLOOKUP($H$2,Лист2!$A:$N,13,0))),0)</f>
        <v>0</v>
      </c>
      <c r="F46" s="130">
        <f t="shared" si="2"/>
        <v>4356.161410168872</v>
      </c>
      <c r="G46" s="149">
        <f t="shared" si="3"/>
        <v>19175.67100308153</v>
      </c>
      <c r="H46" s="149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46447</v>
      </c>
      <c r="D47" s="129">
        <f t="shared" si="1"/>
        <v>15375.241202646883</v>
      </c>
      <c r="E47" s="140">
        <f>IF(B47&lt;=$F$15,(E$17*(VLOOKUP($H$2,Лист2!$A:$N,12,0)-(B47-1)*VLOOKUP($H$2,Лист2!$A:$N,13,0))),0)</f>
        <v>0</v>
      </c>
      <c r="F47" s="130">
        <f t="shared" si="2"/>
        <v>3800.4298004346465</v>
      </c>
      <c r="G47" s="149">
        <f t="shared" si="3"/>
        <v>19175.67100308153</v>
      </c>
      <c r="H47" s="149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46478</v>
      </c>
      <c r="D48" s="129">
        <f t="shared" si="1"/>
        <v>15951.81274774614</v>
      </c>
      <c r="E48" s="140">
        <f>IF(B48&lt;=$F$15,(E$17*(VLOOKUP($H$2,Лист2!$A:$N,12,0)-(B48-1)*VLOOKUP($H$2,Лист2!$A:$N,13,0))),0)</f>
        <v>0</v>
      </c>
      <c r="F48" s="130">
        <f t="shared" si="2"/>
        <v>3223.8582553353885</v>
      </c>
      <c r="G48" s="149">
        <f t="shared" si="3"/>
        <v>19175.67100308153</v>
      </c>
      <c r="H48" s="149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46508</v>
      </c>
      <c r="D49" s="129">
        <f t="shared" si="1"/>
        <v>16550.005725786621</v>
      </c>
      <c r="E49" s="140">
        <f>IF(B49&lt;=$F$15,(E$17*(VLOOKUP($H$2,Лист2!$A:$N,12,0)-(B49-1)*VLOOKUP($H$2,Лист2!$A:$N,13,0))),0)</f>
        <v>0</v>
      </c>
      <c r="F49" s="130">
        <f t="shared" si="2"/>
        <v>2625.6652772949083</v>
      </c>
      <c r="G49" s="149">
        <f t="shared" si="3"/>
        <v>19175.67100308153</v>
      </c>
      <c r="H49" s="149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46539</v>
      </c>
      <c r="D50" s="129">
        <f t="shared" si="1"/>
        <v>17170.630940503619</v>
      </c>
      <c r="E50" s="140">
        <f>IF(B50&lt;=$F$15,(E$17*(VLOOKUP($H$2,Лист2!$A:$N,12,0)-(B50-1)*VLOOKUP($H$2,Лист2!$A:$N,13,0))),0)</f>
        <v>0</v>
      </c>
      <c r="F50" s="130">
        <f t="shared" si="2"/>
        <v>2005.0400625779098</v>
      </c>
      <c r="G50" s="149">
        <f t="shared" si="3"/>
        <v>19175.67100308153</v>
      </c>
      <c r="H50" s="149"/>
      <c r="I50" s="3"/>
    </row>
    <row r="51" spans="1:11" x14ac:dyDescent="0.2">
      <c r="A51" s="49">
        <v>25</v>
      </c>
      <c r="B51" s="101">
        <v>23</v>
      </c>
      <c r="C51" s="138">
        <f t="shared" ca="1" si="0"/>
        <v>46569</v>
      </c>
      <c r="D51" s="129">
        <f t="shared" si="1"/>
        <v>17814.529600772505</v>
      </c>
      <c r="E51" s="140">
        <f>IF(B51&lt;=$F$15,(E$17*(VLOOKUP($H$2,Лист2!$A:$N,12,0)-(B51-1)*VLOOKUP($H$2,Лист2!$A:$N,13,0))),0)</f>
        <v>0</v>
      </c>
      <c r="F51" s="130">
        <f t="shared" si="2"/>
        <v>1361.141402309024</v>
      </c>
      <c r="G51" s="149">
        <f t="shared" si="3"/>
        <v>19175.67100308153</v>
      </c>
      <c r="H51" s="149"/>
      <c r="I51" s="3"/>
    </row>
    <row r="52" spans="1:11" x14ac:dyDescent="0.2">
      <c r="A52" s="49"/>
      <c r="B52" s="101">
        <v>24</v>
      </c>
      <c r="C52" s="138">
        <f t="shared" ca="1" si="0"/>
        <v>46600</v>
      </c>
      <c r="D52" s="129">
        <f t="shared" si="1"/>
        <v>18482.574460801476</v>
      </c>
      <c r="E52" s="140">
        <f>IF(B52&lt;=$F$15,(E$17*(VLOOKUP($H$2,Лист2!$A:$N,12,0)-(B52-1)*VLOOKUP($H$2,Лист2!$A:$N,13,0))),0)</f>
        <v>0</v>
      </c>
      <c r="F52" s="130">
        <f t="shared" si="2"/>
        <v>693.09654228005536</v>
      </c>
      <c r="G52" s="149">
        <f t="shared" si="3"/>
        <v>19175.67100308153</v>
      </c>
      <c r="H52" s="149"/>
      <c r="I52" s="3"/>
    </row>
    <row r="53" spans="1:11" x14ac:dyDescent="0.2">
      <c r="A53" s="49"/>
      <c r="B53" s="101">
        <v>25</v>
      </c>
      <c r="C53" s="138">
        <f t="shared" ca="1" si="0"/>
        <v>46631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49">
        <f t="shared" si="3"/>
        <v>0</v>
      </c>
      <c r="H53" s="149"/>
      <c r="I53" s="3"/>
    </row>
    <row r="54" spans="1:11" x14ac:dyDescent="0.2">
      <c r="A54" s="49"/>
      <c r="B54" s="101">
        <v>26</v>
      </c>
      <c r="C54" s="138">
        <f t="shared" ca="1" si="0"/>
        <v>46661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49">
        <f t="shared" si="3"/>
        <v>0</v>
      </c>
      <c r="H54" s="149"/>
      <c r="I54" s="3"/>
    </row>
    <row r="55" spans="1:11" x14ac:dyDescent="0.2">
      <c r="A55" s="49"/>
      <c r="B55" s="101">
        <v>27</v>
      </c>
      <c r="C55" s="138">
        <f t="shared" ca="1" si="0"/>
        <v>46692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49">
        <f t="shared" si="3"/>
        <v>0</v>
      </c>
      <c r="H55" s="149"/>
      <c r="I55" s="3"/>
    </row>
    <row r="56" spans="1:11" x14ac:dyDescent="0.2">
      <c r="A56" s="49"/>
      <c r="B56" s="101">
        <v>28</v>
      </c>
      <c r="C56" s="138">
        <f t="shared" ca="1" si="0"/>
        <v>46722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49">
        <f t="shared" si="3"/>
        <v>0</v>
      </c>
      <c r="H56" s="149"/>
      <c r="I56" s="3"/>
    </row>
    <row r="57" spans="1:11" x14ac:dyDescent="0.2">
      <c r="A57" s="49"/>
      <c r="B57" s="101">
        <v>29</v>
      </c>
      <c r="C57" s="138">
        <f t="shared" ca="1" si="0"/>
        <v>46753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49">
        <f t="shared" si="3"/>
        <v>0</v>
      </c>
      <c r="H57" s="149"/>
      <c r="I57" s="3"/>
    </row>
    <row r="58" spans="1:11" x14ac:dyDescent="0.2">
      <c r="A58" s="49">
        <v>25</v>
      </c>
      <c r="B58" s="101">
        <v>30</v>
      </c>
      <c r="C58" s="138">
        <f t="shared" ca="1" si="0"/>
        <v>46784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49">
        <f t="shared" si="3"/>
        <v>0</v>
      </c>
      <c r="H58" s="149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46813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49">
        <f t="shared" si="3"/>
        <v>0</v>
      </c>
      <c r="H59" s="149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46844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49">
        <f t="shared" si="3"/>
        <v>0</v>
      </c>
      <c r="H60" s="149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46874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49">
        <f t="shared" si="3"/>
        <v>0</v>
      </c>
      <c r="H61" s="149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46905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49">
        <f t="shared" si="3"/>
        <v>0</v>
      </c>
      <c r="H62" s="149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46935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49">
        <f t="shared" si="3"/>
        <v>0</v>
      </c>
      <c r="H63" s="149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46966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49">
        <f t="shared" si="3"/>
        <v>0</v>
      </c>
      <c r="H64" s="149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46997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9">
        <f t="shared" si="3"/>
        <v>0</v>
      </c>
      <c r="H65" s="149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47027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9">
        <f t="shared" si="3"/>
        <v>0</v>
      </c>
      <c r="H66" s="149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47058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9">
        <f t="shared" si="3"/>
        <v>0</v>
      </c>
      <c r="H67" s="149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47088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9">
        <f t="shared" si="3"/>
        <v>0</v>
      </c>
      <c r="H68" s="149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47119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9">
        <f t="shared" si="3"/>
        <v>0</v>
      </c>
      <c r="H69" s="149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47150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9">
        <f t="shared" si="3"/>
        <v>0</v>
      </c>
      <c r="H70" s="149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47178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9">
        <f t="shared" si="3"/>
        <v>0</v>
      </c>
      <c r="H71" s="149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47209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9">
        <f t="shared" si="3"/>
        <v>0</v>
      </c>
      <c r="H72" s="149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47239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9">
        <f t="shared" si="3"/>
        <v>0</v>
      </c>
      <c r="H73" s="149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47270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9">
        <f t="shared" si="3"/>
        <v>0</v>
      </c>
      <c r="H74" s="149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47300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9">
        <f t="shared" si="3"/>
        <v>0</v>
      </c>
      <c r="H75" s="149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47331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9">
        <f t="shared" si="3"/>
        <v>0</v>
      </c>
      <c r="H76" s="149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47362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9">
        <f t="shared" si="3"/>
        <v>0</v>
      </c>
      <c r="H77" s="149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47392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9">
        <f t="shared" si="3"/>
        <v>0</v>
      </c>
      <c r="H78" s="149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47423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9">
        <f t="shared" si="3"/>
        <v>0</v>
      </c>
      <c r="H79" s="149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47453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9">
        <f t="shared" si="3"/>
        <v>0</v>
      </c>
      <c r="H80" s="149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47484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9">
        <f t="shared" si="3"/>
        <v>0</v>
      </c>
      <c r="H81" s="149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47515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9">
        <f t="shared" si="3"/>
        <v>0</v>
      </c>
      <c r="H82" s="149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47543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9">
        <f t="shared" si="3"/>
        <v>0</v>
      </c>
      <c r="H83" s="149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47574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9">
        <f t="shared" si="3"/>
        <v>0</v>
      </c>
      <c r="H84" s="149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47604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9">
        <f t="shared" si="3"/>
        <v>0</v>
      </c>
      <c r="H85" s="149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47635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9">
        <f t="shared" si="3"/>
        <v>0</v>
      </c>
      <c r="H86" s="149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47665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9">
        <f t="shared" si="3"/>
        <v>0</v>
      </c>
      <c r="H87" s="149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47696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50">
        <f t="shared" si="3"/>
        <v>0</v>
      </c>
      <c r="H88" s="150"/>
      <c r="I88" s="106"/>
      <c r="J88" s="106"/>
    </row>
    <row r="89" spans="1:10" ht="16.5" thickBot="1" x14ac:dyDescent="0.25">
      <c r="A89" s="49"/>
      <c r="B89" s="144" t="s">
        <v>1</v>
      </c>
      <c r="C89" s="145"/>
      <c r="D89" s="133">
        <f>SUM(D29:D88)</f>
        <v>300000.00000000006</v>
      </c>
      <c r="E89" s="133">
        <f>SUM(E29:E88)</f>
        <v>0</v>
      </c>
      <c r="F89" s="133">
        <f>SUM(F29:F88)</f>
        <v>160216.10407395667</v>
      </c>
      <c r="G89" s="146">
        <f>SUM(G29:H88)</f>
        <v>460216.1040739569</v>
      </c>
      <c r="H89" s="147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8" t="s">
        <v>3</v>
      </c>
      <c r="F91" s="148"/>
      <c r="G91" s="148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6ototyGwKp7MN1S+AL8fT7oxVhUKoQcuJCoOoM+CnVyQDLrfqwFxJuOFVc93r9tJVr2FHhXsC+2Qh5NV+dOIng==" saltValue="rTlioTssbYSc0/OVBHqcLQ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$K$16:$K$19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B15" sqref="B15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8" width="9.7109375" style="110" bestFit="1" customWidth="1"/>
    <col min="9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300000</v>
      </c>
      <c r="C4" s="117">
        <v>60</v>
      </c>
      <c r="D4" s="118">
        <v>0.45</v>
      </c>
      <c r="E4" s="141">
        <v>0</v>
      </c>
      <c r="F4" s="118">
        <v>0</v>
      </c>
      <c r="G4" s="117" t="str">
        <f t="shared" ref="G4:G6" si="0">I$2&amp;" "&amp;B4&amp;" "&amp;H$2</f>
        <v>max. 300000 грн.</v>
      </c>
      <c r="H4" s="142">
        <f>B4+E4</f>
        <v>300000</v>
      </c>
      <c r="I4" s="117"/>
      <c r="J4" s="117">
        <v>5</v>
      </c>
      <c r="K4" s="119">
        <f t="shared" ref="K4:K6" si="1">D4/12/(1-1/POWER(1+D4/12,C4))*H4+H4*F4</f>
        <v>12638.00919788966</v>
      </c>
      <c r="L4" s="120">
        <v>0</v>
      </c>
      <c r="M4" s="121">
        <v>0</v>
      </c>
      <c r="N4" s="117">
        <v>50000</v>
      </c>
    </row>
    <row r="5" spans="1:14" x14ac:dyDescent="0.2">
      <c r="A5" s="117" t="s">
        <v>47</v>
      </c>
      <c r="B5" s="117">
        <v>500000</v>
      </c>
      <c r="C5" s="117">
        <v>36</v>
      </c>
      <c r="D5" s="118">
        <v>0.45</v>
      </c>
      <c r="E5" s="141">
        <v>0</v>
      </c>
      <c r="F5" s="118">
        <v>0</v>
      </c>
      <c r="G5" s="117" t="str">
        <f t="shared" ref="G5" si="2">I$2&amp;" "&amp;B5&amp;" "&amp;H$2</f>
        <v>max. 500000 грн.</v>
      </c>
      <c r="H5" s="142">
        <f>B5+E5</f>
        <v>500000</v>
      </c>
      <c r="I5" s="117"/>
      <c r="J5" s="117">
        <v>5</v>
      </c>
      <c r="K5" s="119">
        <f t="shared" ref="K5" si="3">D5/12/(1-1/POWER(1+D5/12,C5))*H5+H5*F5</f>
        <v>25535.302483029005</v>
      </c>
      <c r="L5" s="120">
        <v>0</v>
      </c>
      <c r="M5" s="121">
        <v>0</v>
      </c>
      <c r="N5" s="117">
        <v>50000</v>
      </c>
    </row>
    <row r="6" spans="1:14" x14ac:dyDescent="0.2">
      <c r="A6" s="117" t="s">
        <v>48</v>
      </c>
      <c r="B6" s="117">
        <v>500000</v>
      </c>
      <c r="C6" s="117">
        <v>24</v>
      </c>
      <c r="D6" s="118">
        <v>0.45</v>
      </c>
      <c r="E6" s="141">
        <v>0</v>
      </c>
      <c r="F6" s="118">
        <v>0</v>
      </c>
      <c r="G6" s="117" t="str">
        <f t="shared" si="0"/>
        <v>max. 500000 грн.</v>
      </c>
      <c r="H6" s="142">
        <f t="shared" ref="H6:H7" si="4">B6+E6</f>
        <v>500000</v>
      </c>
      <c r="I6" s="117"/>
      <c r="J6" s="117">
        <v>6</v>
      </c>
      <c r="K6" s="119">
        <f t="shared" si="1"/>
        <v>31959.45167180249</v>
      </c>
      <c r="L6" s="120">
        <v>0</v>
      </c>
      <c r="M6" s="121">
        <v>0</v>
      </c>
      <c r="N6" s="117">
        <v>50000</v>
      </c>
    </row>
    <row r="7" spans="1:14" x14ac:dyDescent="0.2">
      <c r="A7" s="117" t="s">
        <v>49</v>
      </c>
      <c r="B7" s="117">
        <v>500000</v>
      </c>
      <c r="C7" s="117">
        <v>12</v>
      </c>
      <c r="D7" s="118">
        <v>0.45</v>
      </c>
      <c r="E7" s="141">
        <v>0</v>
      </c>
      <c r="F7" s="118">
        <v>0</v>
      </c>
      <c r="G7" s="117" t="str">
        <f t="shared" ref="G7" si="5">I$2&amp;" "&amp;B7&amp;" "&amp;H$2</f>
        <v>max. 500000 грн.</v>
      </c>
      <c r="H7" s="142">
        <f t="shared" si="4"/>
        <v>500000</v>
      </c>
      <c r="I7" s="117"/>
      <c r="J7" s="117">
        <v>7</v>
      </c>
      <c r="K7" s="119">
        <f t="shared" ref="K7" si="6">D7/12/(1-1/POWER(1+D7/12,C7))*H7+H7*F7</f>
        <v>52506.150489763029</v>
      </c>
      <c r="L7" s="120">
        <v>0</v>
      </c>
      <c r="M7" s="121">
        <v>0</v>
      </c>
      <c r="N7" s="117">
        <v>50000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2" t="s">
        <v>13</v>
      </c>
      <c r="B1" s="183"/>
      <c r="C1" s="183"/>
      <c r="D1" s="184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7" t="s">
        <v>29</v>
      </c>
      <c r="B3" s="178"/>
      <c r="C3" s="178"/>
      <c r="D3" s="179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7" t="s">
        <v>45</v>
      </c>
      <c r="B5" s="178"/>
      <c r="C5" s="178"/>
      <c r="D5" s="179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7" t="s">
        <v>30</v>
      </c>
      <c r="B7" s="178"/>
      <c r="C7" s="178"/>
      <c r="D7" s="179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7" t="s">
        <v>43</v>
      </c>
      <c r="B9" s="178"/>
      <c r="C9" s="178"/>
      <c r="D9" s="179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7" t="s">
        <v>42</v>
      </c>
      <c r="B12" s="178"/>
      <c r="C12" s="178"/>
      <c r="D12" s="179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7" t="s">
        <v>37</v>
      </c>
      <c r="B14" s="178"/>
      <c r="C14" s="178"/>
      <c r="D14" s="179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7" t="s">
        <v>41</v>
      </c>
      <c r="B16" s="178"/>
      <c r="C16" s="178"/>
      <c r="D16" s="179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36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0" t="s">
        <v>5</v>
      </c>
      <c r="B20" s="181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5" t="s">
        <v>16</v>
      </c>
      <c r="B21" s="186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5" t="s">
        <v>6</v>
      </c>
      <c r="B22" s="186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5" t="s">
        <v>14</v>
      </c>
      <c r="B23" s="186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5" t="s">
        <v>15</v>
      </c>
      <c r="B24" s="186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8" t="s">
        <v>35</v>
      </c>
      <c r="B27" s="189"/>
      <c r="C27" s="189"/>
      <c r="D27" s="189"/>
      <c r="E27" s="189"/>
      <c r="F27" s="189"/>
      <c r="G27" s="190"/>
    </row>
    <row r="28" spans="1:8" ht="45.75" thickBot="1" x14ac:dyDescent="0.25">
      <c r="A28" s="191" t="s">
        <v>2</v>
      </c>
      <c r="B28" s="192"/>
      <c r="C28" s="84" t="s">
        <v>33</v>
      </c>
      <c r="D28" s="84" t="s">
        <v>31</v>
      </c>
      <c r="E28" s="84" t="s">
        <v>32</v>
      </c>
      <c r="F28" s="193" t="s">
        <v>34</v>
      </c>
      <c r="G28" s="194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7"/>
      <c r="E30" s="187"/>
      <c r="F30" s="187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Альтернатива</vt:lpstr>
      <vt:lpstr>Лист2</vt:lpstr>
      <vt:lpstr>Назви</vt:lpstr>
      <vt:lpstr>Альтернатива!Область_друку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2025-07-31T09:41:39Z</dcterms:modified>
</cp:coreProperties>
</file>