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+\"/>
    </mc:Choice>
  </mc:AlternateContent>
  <xr:revisionPtr revIDLastSave="0" documentId="13_ncr:1_{FA1DE950-0B1C-463C-B371-8D1B4A148056}" xr6:coauthVersionLast="47" xr6:coauthVersionMax="47" xr10:uidLastSave="{00000000-0000-0000-0000-000000000000}"/>
  <workbookProtection workbookAlgorithmName="SHA-512" workbookHashValue="pMge1aWRhMFYQzWyWnUyIAf1Y0wVqxxmrOn+vSXsxLLycP6YOPGkSwRt3GCxmjT3uFrUGdIEt+Xh0q6q5N7EiQ==" workbookSaltValue="JdKxaP/k4Z/HQVcBjHg3MA==" workbookSpinCount="100000" lockStructure="1"/>
  <bookViews>
    <workbookView xWindow="-120" yWindow="-120" windowWidth="29040" windowHeight="15990" tabRatio="863" xr2:uid="{00000000-000D-0000-FFFF-FFFF00000000}"/>
  </bookViews>
  <sheets>
    <sheet name="Мобільний_для лідогенераторівCK" sheetId="188" r:id="rId1"/>
    <sheet name="Лист2" sheetId="165" state="hidden" r:id="rId2"/>
    <sheet name="Назви" sheetId="161" state="hidden" r:id="rId3"/>
  </sheets>
  <definedNames>
    <definedName name="_xlnm._FilterDatabase" localSheetId="0" hidden="1">'Мобільний_для лідогенераторівCK'!$A$27:$H$89</definedName>
    <definedName name="_xlnm.Print_Area" localSheetId="0">'Мобільний_для лідогенераторівCK'!$A$1:$J$92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K13" i="188"/>
  <c r="K14" i="188"/>
  <c r="F15" i="188" l="1"/>
  <c r="F13" i="188"/>
  <c r="F11" i="188"/>
  <c r="F9" i="188"/>
  <c r="F2" i="188"/>
  <c r="E2" i="188"/>
  <c r="K12" i="188"/>
  <c r="K11" i="188"/>
  <c r="H6" i="165"/>
  <c r="K6" i="165" s="1"/>
  <c r="G6" i="165"/>
  <c r="H5" i="165"/>
  <c r="K5" i="165" s="1"/>
  <c r="G5" i="165"/>
  <c r="H3" i="188" s="1"/>
  <c r="H4" i="165"/>
  <c r="K4" i="165" s="1"/>
  <c r="G4" i="165"/>
  <c r="C29" i="188" l="1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E3" i="188" l="1"/>
  <c r="F3" i="188" s="1"/>
  <c r="E17" i="188" l="1"/>
  <c r="G28" i="188"/>
  <c r="D31" i="188" l="1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E89" i="188" l="1"/>
  <c r="D89" i="188" l="1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C23" i="161" l="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6" i="161" l="1"/>
  <c r="G25" i="161"/>
  <c r="G24" i="161"/>
  <c r="G23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<sst xmlns="http://schemas.openxmlformats.org/spreadsheetml/2006/main" count="55" uniqueCount="50">
  <si>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</si>
  <si>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</si>
  <si>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</si>
  <si>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</si>
  <si>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</si>
  <si>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</si>
  <si>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</si>
  <si>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</si>
  <si>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</si>
  <si>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</si>
  <si>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</si>
  <si>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</si>
  <si>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</si>
  <si>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</si>
  <si>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</si>
  <si>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</si>
  <si>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</si>
  <si>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</si>
  <si>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</si>
  <si>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</si>
  <si>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</si>
  <si>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</si>
  <si>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</si>
  <si>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</si>
  <si>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</si>
  <si>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</si>
  <si>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</si>
  <si>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</si>
  <si>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</si>
  <si>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</si>
  <si>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</si>
  <si>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</si>
  <si>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</si>
  <si>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</si>
  <si>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</si>
  <si>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</si>
  <si>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</si>
  <si>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</si>
  <si>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</si>
  <si>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</si>
  <si>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</si>
  <si>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</si>
  <si>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</si>
  <si>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</si>
  <si>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Процентна ставка базова, % річних</t>
  </si>
  <si>
    <t>Процентна ставка знижена, % річних</t>
  </si>
  <si>
    <t>Реальна річна процентна ставка, %</t>
  </si>
  <si>
    <t>Мобільний_для лідогенераторів_СК 36 міс.</t>
  </si>
  <si>
    <t>Мобільний_для лідогенераторів_СК 24 міс.</t>
  </si>
  <si>
    <t>Мобільний_для лідогенераторів_СК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</si>
</sst>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3" fillId="3" borderId="0" xfId="0" applyFont="1" applyFill="1"/>
    <xf numFmtId="0" fontId="24" fillId="3" borderId="0" xfId="0" applyFont="1" applyFill="1"/>
    <xf numFmtId="0" fontId="25" fillId="0" borderId="0" xfId="23" applyFont="1"/>
    <xf numFmtId="0" fontId="25" fillId="3" borderId="0" xfId="23" applyFont="1" applyFill="1"/>
    <xf numFmtId="0" fontId="27" fillId="0" borderId="0" xfId="23" applyFont="1"/>
    <xf numFmtId="0" fontId="8" fillId="0" borderId="0" xfId="0" applyFont="1" applyAlignment="1">
      <alignment horizontal="left"/>
    </xf>
    <xf numFmtId="0" fontId="27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29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6" xfId="23" applyNumberFormat="1" applyFont="1" applyBorder="1" applyAlignment="1" applyProtection="1">
      <alignment horizontal="center" vertical="top" wrapText="1"/>
      <protection locked="0"/>
    </xf>
    <xf numFmtId="1" fontId="4" fillId="0" borderId="6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8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8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7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 applyAlignment="1">
      <alignment horizontal="center"/>
    </xf>
    <xf numFmtId="10" fontId="31" fillId="3" borderId="0" xfId="23" applyNumberFormat="1" applyFont="1" applyFill="1" applyAlignment="1">
      <alignment horizontal="center"/>
    </xf>
    <xf numFmtId="0" fontId="9" fillId="3" borderId="8" xfId="23" applyFont="1" applyFill="1" applyBorder="1"/>
    <xf numFmtId="0" fontId="5" fillId="3" borderId="9" xfId="23" applyFill="1" applyBorder="1"/>
    <xf numFmtId="4" fontId="5" fillId="3" borderId="10" xfId="23" applyNumberFormat="1" applyFill="1" applyBorder="1"/>
    <xf numFmtId="0" fontId="33" fillId="3" borderId="0" xfId="0" applyFont="1" applyFill="1"/>
    <xf numFmtId="165" fontId="17" fillId="5" borderId="7" xfId="23" applyNumberFormat="1" applyFont="1" applyFill="1" applyBorder="1" applyAlignment="1">
      <alignment horizontal="center" vertical="center" wrapText="1"/>
    </xf>
    <xf numFmtId="0" fontId="34" fillId="3" borderId="0" xfId="23" applyFont="1" applyFill="1"/>
    <xf numFmtId="0" fontId="5" fillId="7" borderId="0" xfId="23" applyFill="1"/>
    <xf numFmtId="0" fontId="9" fillId="7" borderId="0" xfId="23" applyFont="1" applyFill="1"/>
    <xf numFmtId="0" fontId="28" fillId="4" borderId="0" xfId="23" applyFont="1" applyFill="1"/>
    <xf numFmtId="0" fontId="32" fillId="0" borderId="0" xfId="23" applyFont="1"/>
    <xf numFmtId="0" fontId="36" fillId="3" borderId="0" xfId="0" applyFont="1" applyFill="1"/>
    <xf numFmtId="176" fontId="9" fillId="3" borderId="0" xfId="23" applyNumberFormat="1" applyFont="1" applyFill="1"/>
    <xf numFmtId="0" fontId="37" fillId="4" borderId="0" xfId="0" applyFont="1" applyFill="1"/>
    <xf numFmtId="0" fontId="17" fillId="4" borderId="0" xfId="23" applyFont="1" applyFill="1" applyAlignment="1">
      <alignment horizontal="center"/>
    </xf>
    <xf numFmtId="0" fontId="32" fillId="4" borderId="0" xfId="23" applyFont="1" applyFill="1"/>
    <xf numFmtId="0" fontId="32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8" fillId="4" borderId="0" xfId="23" applyNumberFormat="1" applyFont="1" applyFill="1" applyAlignment="1">
      <alignment vertical="top" wrapText="1"/>
    </xf>
    <xf numFmtId="165" fontId="28" fillId="4" borderId="0" xfId="23" applyNumberFormat="1" applyFont="1" applyFill="1"/>
    <xf numFmtId="14" fontId="38" fillId="3" borderId="0" xfId="23" applyNumberFormat="1" applyFont="1" applyFill="1" applyAlignment="1">
      <alignment horizontal="center"/>
    </xf>
    <xf numFmtId="165" fontId="17" fillId="5" borderId="24" xfId="23" applyNumberFormat="1" applyFont="1" applyFill="1" applyBorder="1" applyAlignment="1">
      <alignment horizontal="center" vertical="center" wrapText="1"/>
    </xf>
    <xf numFmtId="14" fontId="27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167" fontId="5" fillId="0" borderId="15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0" fontId="5" fillId="9" borderId="0" xfId="23" applyFill="1"/>
    <xf numFmtId="10" fontId="4" fillId="0" borderId="32" xfId="23" applyNumberFormat="1" applyFont="1" applyBorder="1"/>
    <xf numFmtId="10" fontId="4" fillId="0" borderId="0" xfId="23" applyNumberFormat="1" applyFont="1"/>
    <xf numFmtId="178" fontId="41" fillId="10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7" xfId="23" applyNumberFormat="1" applyFont="1" applyFill="1" applyBorder="1" applyAlignment="1">
      <alignment horizontal="center" vertical="center"/>
    </xf>
    <xf numFmtId="2" fontId="5" fillId="0" borderId="14" xfId="23" applyNumberFormat="1" applyBorder="1" applyAlignment="1">
      <alignment horizontal="center"/>
    </xf>
    <xf numFmtId="2" fontId="5" fillId="0" borderId="11" xfId="23" applyNumberFormat="1" applyBorder="1" applyAlignment="1">
      <alignment horizontal="center"/>
    </xf>
    <xf numFmtId="2" fontId="5" fillId="0" borderId="33" xfId="23" applyNumberFormat="1" applyBorder="1" applyAlignment="1">
      <alignment horizontal="center"/>
    </xf>
    <xf numFmtId="167" fontId="5" fillId="0" borderId="30" xfId="23" applyNumberFormat="1" applyBorder="1" applyAlignment="1">
      <alignment horizontal="center"/>
    </xf>
    <xf numFmtId="14" fontId="5" fillId="0" borderId="34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0" xfId="23" applyNumberFormat="1" applyBorder="1" applyAlignment="1">
      <alignment horizontal="center"/>
    </xf>
    <xf numFmtId="0" fontId="5" fillId="0" borderId="18" xfId="23" applyBorder="1" applyAlignment="1">
      <alignment horizontal="center"/>
    </xf>
    <xf numFmtId="0" fontId="5" fillId="0" borderId="17" xfId="23" applyBorder="1" applyAlignment="1">
      <alignment horizontal="center"/>
    </xf>
    <xf numFmtId="0" fontId="5" fillId="0" borderId="35" xfId="23" applyBorder="1" applyAlignment="1">
      <alignment horizontal="center"/>
    </xf>
    <xf numFmtId="0" fontId="14" fillId="0" borderId="26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0" fontId="10" fillId="2" borderId="24" xfId="23" applyFont="1" applyFill="1" applyBorder="1" applyAlignment="1">
      <alignment horizontal="left" vertical="center"/>
    </xf>
    <xf numFmtId="0" fontId="10" fillId="2" borderId="26" xfId="23" applyFont="1" applyFill="1" applyBorder="1" applyAlignment="1">
      <alignment horizontal="left" vertical="center"/>
    </xf>
    <xf numFmtId="168" fontId="10" fillId="2" borderId="21" xfId="23" applyNumberFormat="1" applyFont="1" applyFill="1" applyBorder="1" applyAlignment="1">
      <alignment horizontal="center" vertical="center"/>
    </xf>
    <xf numFmtId="168" fontId="10" fillId="2" borderId="22" xfId="23" applyNumberFormat="1" applyFont="1" applyFill="1" applyBorder="1" applyAlignment="1">
      <alignment horizontal="center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" xfId="23" applyNumberFormat="1" applyFont="1" applyBorder="1" applyAlignment="1">
      <alignment horizontal="center"/>
    </xf>
    <xf numFmtId="4" fontId="17" fillId="0" borderId="29" xfId="23" applyNumberFormat="1" applyFont="1" applyBorder="1" applyAlignment="1">
      <alignment horizontal="center"/>
    </xf>
    <xf numFmtId="4" fontId="17" fillId="0" borderId="30" xfId="23" applyNumberFormat="1" applyFont="1" applyBorder="1" applyAlignment="1">
      <alignment horizontal="center"/>
    </xf>
    <xf numFmtId="4" fontId="17" fillId="0" borderId="31" xfId="23" applyNumberFormat="1" applyFont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10" fontId="17" fillId="0" borderId="0" xfId="23" applyNumberFormat="1" applyFont="1" applyAlignment="1">
      <alignment horizont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165" fontId="17" fillId="5" borderId="24" xfId="23" applyNumberFormat="1" applyFont="1" applyFill="1" applyBorder="1" applyAlignment="1">
      <alignment horizontal="center" vertical="center" wrapText="1"/>
    </xf>
    <xf numFmtId="165" fontId="17" fillId="5" borderId="26" xfId="23" applyNumberFormat="1" applyFont="1" applyFill="1" applyBorder="1" applyAlignment="1">
      <alignment horizontal="center" vertical="center" wrapText="1"/>
    </xf>
    <xf numFmtId="4" fontId="30" fillId="3" borderId="9" xfId="23" applyNumberFormat="1" applyFont="1" applyFill="1" applyBorder="1" applyAlignment="1">
      <alignment horizontal="center"/>
    </xf>
    <xf numFmtId="4" fontId="30" fillId="3" borderId="20" xfId="23" applyNumberFormat="1" applyFont="1" applyFill="1" applyBorder="1" applyAlignment="1">
      <alignment horizontal="center"/>
    </xf>
    <xf numFmtId="4" fontId="17" fillId="0" borderId="15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9" fillId="0" borderId="32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9" borderId="5" xfId="23" applyFont="1" applyFill="1" applyBorder="1" applyAlignment="1">
      <alignment horizontal="center"/>
    </xf>
    <xf numFmtId="0" fontId="17" fillId="5" borderId="8" xfId="23" applyFont="1" applyFill="1" applyBorder="1" applyAlignment="1" applyProtection="1">
      <alignment horizontal="center" vertical="center"/>
      <protection locked="0"/>
    </xf>
    <xf numFmtId="0" fontId="17" fillId="5" borderId="20" xfId="23" applyFont="1" applyFill="1" applyBorder="1" applyAlignment="1" applyProtection="1">
      <alignment horizontal="center" vertical="center"/>
      <protection locked="0"/>
    </xf>
    <xf numFmtId="10" fontId="35" fillId="4" borderId="0" xfId="23" applyNumberFormat="1" applyFont="1" applyFill="1" applyAlignment="1">
      <alignment horizontal="center" vertical="center" wrapText="1"/>
    </xf>
    <xf numFmtId="10" fontId="22" fillId="5" borderId="21" xfId="23" applyNumberFormat="1" applyFont="1" applyFill="1" applyBorder="1" applyAlignment="1">
      <alignment horizontal="center" vertical="center"/>
    </xf>
    <xf numFmtId="10" fontId="22" fillId="5" borderId="22" xfId="23" applyNumberFormat="1" applyFont="1" applyFill="1" applyBorder="1" applyAlignment="1">
      <alignment horizontal="center" vertical="center"/>
    </xf>
    <xf numFmtId="0" fontId="43" fillId="9" borderId="24" xfId="0" applyFont="1" applyFill="1" applyBorder="1" applyAlignment="1">
      <alignment horizontal="left" vertical="center"/>
    </xf>
    <xf numFmtId="0" fontId="39" fillId="9" borderId="25" xfId="0" applyFont="1" applyFill="1" applyBorder="1" applyAlignment="1">
      <alignment horizontal="left" vertical="center"/>
    </xf>
    <xf numFmtId="0" fontId="39" fillId="9" borderId="28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6" fillId="0" borderId="1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2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165" fontId="17" fillId="0" borderId="23" xfId="23" applyNumberFormat="1" applyFont="1" applyBorder="1" applyAlignment="1">
      <alignment horizontal="center" vertical="center" wrapText="1"/>
    </xf>
    <xf numFmtId="165" fontId="17" fillId="0" borderId="19" xfId="23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16175</xdr:rowOff>
    </xdr:from>
    <xdr:to>
      <xdr:col>3</xdr:col>
      <xdr:colOff>446174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6175"/>
          <a:ext cx="1855874" cy="64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23.1406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97" customWidth="1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70" t="s">
        <v>38</v>
      </c>
      <c r="I1" s="170"/>
    </row>
    <row r="2" spans="1:29" ht="12.75" customHeight="1" x14ac:dyDescent="0.2">
      <c r="A2" s="2"/>
      <c r="B2" s="50"/>
      <c r="C2" s="50"/>
      <c r="D2" s="50"/>
      <c r="E2" s="105">
        <f>VLOOKUP('Мобільний_для лідогенераторівCK'!H2,Лист2!A:O,14,FALSE)</f>
        <v>5000</v>
      </c>
      <c r="F2" s="100">
        <f>VLOOKUP(H$2,Лист2!$A:$H,2,0)</f>
        <v>434782.61</v>
      </c>
      <c r="G2" s="113">
        <f ca="1">TODAY()</f>
        <v>45861</v>
      </c>
      <c r="H2" s="171" t="s">
        <v>49</v>
      </c>
      <c r="I2" s="172"/>
      <c r="J2" s="42"/>
      <c r="M2" s="121"/>
      <c r="N2" s="121"/>
    </row>
    <row r="3" spans="1:29" ht="13.7" customHeight="1" thickBot="1" x14ac:dyDescent="0.25">
      <c r="A3" s="2"/>
      <c r="B3" s="50"/>
      <c r="C3" s="50"/>
      <c r="D3" s="50"/>
      <c r="E3" s="106">
        <f>IF(F5&lt;E2,"x",IF(F5&gt;F2,"y",F5))</f>
        <v>200000</v>
      </c>
      <c r="F3" s="173" t="str">
        <f>IF(E3="x","Збільшіть суму",IF(E3="y","Зменшіть суму",""))</f>
        <v/>
      </c>
      <c r="G3" s="57">
        <f>Назви!B35</f>
        <v>30.4</v>
      </c>
      <c r="H3" s="174" t="str">
        <f>VLOOKUP(H$2,Лист2!$A:$H,7,0)</f>
        <v>max. 434782,61 грн.</v>
      </c>
      <c r="I3" s="175"/>
      <c r="J3" s="42"/>
    </row>
    <row r="4" spans="1:29" ht="9" customHeight="1" thickBot="1" x14ac:dyDescent="0.25">
      <c r="A4" s="2"/>
      <c r="B4" s="2"/>
      <c r="C4" s="2"/>
      <c r="D4" s="2"/>
      <c r="E4" s="105"/>
      <c r="F4" s="173"/>
      <c r="G4" s="35"/>
      <c r="H4" s="116"/>
      <c r="I4" s="42"/>
      <c r="J4" s="42"/>
      <c r="K4" s="54"/>
    </row>
    <row r="5" spans="1:29" ht="21" customHeight="1" thickBot="1" x14ac:dyDescent="0.25">
      <c r="A5" s="1"/>
      <c r="B5" s="176" t="s">
        <v>40</v>
      </c>
      <c r="C5" s="177"/>
      <c r="D5" s="177"/>
      <c r="E5" s="178"/>
      <c r="F5" s="124">
        <v>200000</v>
      </c>
      <c r="G5" s="122" t="s">
        <v>23</v>
      </c>
      <c r="H5" s="123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64" t="s">
        <v>39</v>
      </c>
      <c r="C7" s="165"/>
      <c r="D7" s="165"/>
      <c r="E7" s="166"/>
      <c r="F7" s="13">
        <f>D89</f>
        <v>230000.00000000003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64" t="str">
        <f>Назви!A3</f>
        <v>Процентна ставка базова, % річних</v>
      </c>
      <c r="C9" s="165">
        <f>Назви!B3</f>
        <v>0</v>
      </c>
      <c r="D9" s="165">
        <f>Назви!C3</f>
        <v>0</v>
      </c>
      <c r="E9" s="166">
        <f>Назви!D3</f>
        <v>0</v>
      </c>
      <c r="F9" s="32">
        <f>VLOOKUP(H$2,Лист2!$A:$H,4,0)</f>
        <v>0.69</v>
      </c>
      <c r="G9" s="154"/>
      <c r="H9" s="154"/>
      <c r="I9" s="3"/>
      <c r="J9" s="43"/>
      <c r="K9" s="110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110"/>
    </row>
    <row r="11" spans="1:29" ht="12.6" customHeight="1" x14ac:dyDescent="0.2">
      <c r="A11" s="1"/>
      <c r="B11" s="164" t="str">
        <f>Назви!A7</f>
        <v>Разовий страховий тариф, %</v>
      </c>
      <c r="C11" s="165">
        <f>Назви!B7</f>
        <v>0</v>
      </c>
      <c r="D11" s="165">
        <f>Назви!C7</f>
        <v>0</v>
      </c>
      <c r="E11" s="166">
        <f>Назви!D7</f>
        <v>0</v>
      </c>
      <c r="F11" s="32">
        <f>VLOOKUP(H$2,Лист2!$A:$H,5,0)</f>
        <v>0.15</v>
      </c>
      <c r="G11" s="154"/>
      <c r="H11" s="154"/>
      <c r="I11" s="3"/>
      <c r="J11" s="43"/>
      <c r="K11" s="110" t="str">
        <f>Лист2!A4</f>
        <v>Мобільний_для лідогенераторів_СК 36 міс.</v>
      </c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0" t="str">
        <f>Лист2!A5</f>
        <v>Мобільний_для лідогенераторів_СК 24 міс.</v>
      </c>
    </row>
    <row r="13" spans="1:29" x14ac:dyDescent="0.2">
      <c r="A13" s="1"/>
      <c r="B13" s="164" t="str">
        <f>Назви!A9</f>
        <v xml:space="preserve">Щомісячна плата за обслуговування кредитної заборгованості, % </v>
      </c>
      <c r="C13" s="165">
        <f>Назви!B9</f>
        <v>0</v>
      </c>
      <c r="D13" s="165">
        <f>Назви!C9</f>
        <v>0</v>
      </c>
      <c r="E13" s="166">
        <f>Назви!D9</f>
        <v>0</v>
      </c>
      <c r="F13" s="32">
        <f>VLOOKUP(H$2,Лист2!$A:$H,6,0)</f>
        <v>0</v>
      </c>
      <c r="G13" s="154"/>
      <c r="H13" s="154"/>
      <c r="I13" s="3"/>
      <c r="J13" s="43"/>
      <c r="K13" s="110" t="str">
        <f>Лист2!A6</f>
        <v>Мобільний_для лідогенераторів_СК 12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0">
        <f>Лист2!A7</f>
        <v>0</v>
      </c>
    </row>
    <row r="15" spans="1:29" x14ac:dyDescent="0.2">
      <c r="A15" s="1"/>
      <c r="B15" s="164" t="str">
        <f>Назви!A11</f>
        <v>Термін кредитування (міс.)</v>
      </c>
      <c r="C15" s="165">
        <f>Назви!B11</f>
        <v>0</v>
      </c>
      <c r="D15" s="165">
        <f>Назви!C11</f>
        <v>0</v>
      </c>
      <c r="E15" s="166">
        <f>Назви!D11</f>
        <v>0</v>
      </c>
      <c r="F15" s="53">
        <f>VLOOKUP(H$2,Лист2!$A:$H,3,0)</f>
        <v>12</v>
      </c>
      <c r="G15" s="154"/>
      <c r="H15" s="154"/>
      <c r="I15" s="3"/>
      <c r="J15" s="43"/>
      <c r="K15" s="110"/>
    </row>
    <row r="16" spans="1:29" s="12" customFormat="1" ht="7.9" customHeight="1" x14ac:dyDescent="0.2">
      <c r="A16" s="1"/>
      <c r="B16" s="10"/>
      <c r="C16" s="48"/>
      <c r="D16" s="94"/>
      <c r="E16" s="111">
        <f>F5*F11</f>
        <v>30000</v>
      </c>
      <c r="F16" s="50"/>
      <c r="G16" s="96"/>
      <c r="H16" s="11"/>
      <c r="I16" s="1"/>
      <c r="J16" s="44"/>
      <c r="K16" s="110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2">
        <f>E16+E3</f>
        <v>230000</v>
      </c>
      <c r="F17" s="50"/>
      <c r="G17" s="96"/>
      <c r="H17" s="11"/>
      <c r="I17" s="1"/>
      <c r="J17" s="99"/>
      <c r="K17" s="110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1" t="str">
        <f>Назви!A14</f>
        <v>Орієнтовний платіж, грн.</v>
      </c>
      <c r="C18" s="152">
        <f>Назви!B14</f>
        <v>0</v>
      </c>
      <c r="D18" s="152">
        <f>Назви!C14</f>
        <v>0</v>
      </c>
      <c r="E18" s="153">
        <f>Назви!D14</f>
        <v>0</v>
      </c>
      <c r="F18" s="13">
        <f>PMT(F9/12,F15,-E17)+F13*E17</f>
        <v>27058.964723685436</v>
      </c>
      <c r="G18" s="167"/>
      <c r="H18" s="168"/>
      <c r="I18" s="102"/>
      <c r="J18" s="44"/>
      <c r="K18" s="110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0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1" t="str">
        <f>Назви!A16</f>
        <v>Орієнтовні загальні витрати за кредитом, грн.</v>
      </c>
      <c r="C20" s="152">
        <f>Назви!B16</f>
        <v>0</v>
      </c>
      <c r="D20" s="152">
        <f>Назви!C16</f>
        <v>0</v>
      </c>
      <c r="E20" s="153">
        <f>Назви!D16</f>
        <v>0</v>
      </c>
      <c r="F20" s="13">
        <f>G89-E3</f>
        <v>124707.57668422523</v>
      </c>
      <c r="G20" s="169"/>
      <c r="H20" s="169"/>
      <c r="I20" s="1"/>
      <c r="J20" s="45"/>
      <c r="K20" s="110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0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1" t="str">
        <f>Назви!A18</f>
        <v>Орієнтовна загальна вартість кредиту, грн.</v>
      </c>
      <c r="C22" s="152">
        <f>Назви!B18</f>
        <v>0</v>
      </c>
      <c r="D22" s="152">
        <f>Назви!C18</f>
        <v>0</v>
      </c>
      <c r="E22" s="153">
        <f>Назви!D18</f>
        <v>0</v>
      </c>
      <c r="F22" s="13">
        <f>F7+F20</f>
        <v>354707.57668422523</v>
      </c>
      <c r="G22" s="154"/>
      <c r="H22" s="154"/>
      <c r="I22" s="1"/>
      <c r="J22" s="45"/>
      <c r="K22" s="110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0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1" t="str">
        <f>Назви!A20</f>
        <v>Реальна річна процентна ставка, %</v>
      </c>
      <c r="C24" s="152"/>
      <c r="D24" s="152"/>
      <c r="E24" s="153"/>
      <c r="F24" s="32">
        <f ca="1">XIRR(G28:G88,C28:C88)</f>
        <v>1.6137667536735536</v>
      </c>
      <c r="G24" s="17"/>
      <c r="H24" s="18"/>
      <c r="I24" s="1"/>
      <c r="J24" s="1"/>
      <c r="K24" s="110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1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5" t="str">
        <f>Назви!A29</f>
        <v>Орієнтовний порядок повернення кредиту</v>
      </c>
      <c r="C26" s="156"/>
      <c r="D26" s="156"/>
      <c r="E26" s="156"/>
      <c r="F26" s="156"/>
      <c r="G26" s="156"/>
      <c r="H26" s="157"/>
      <c r="I26" s="3"/>
      <c r="K26" s="110"/>
    </row>
    <row r="27" spans="1:29" ht="31.15" customHeight="1" thickBot="1" x14ac:dyDescent="0.25">
      <c r="A27" s="1"/>
      <c r="B27" s="114" t="s">
        <v>37</v>
      </c>
      <c r="C27" s="114" t="str">
        <f>Назви!A30</f>
        <v>Місяць</v>
      </c>
      <c r="D27" s="95" t="str">
        <f>Назви!C30</f>
        <v>Погашення суми кредиту, грн.</v>
      </c>
      <c r="E27" s="95" t="str">
        <f>Назви!D30</f>
        <v>Розмір щомісячної плати за обслуговування кредитної заборгованості, грн.</v>
      </c>
      <c r="F27" s="95" t="str">
        <f>Назви!E30</f>
        <v>Проценти за користування кредитом, грн.</v>
      </c>
      <c r="G27" s="158" t="str">
        <f>Назви!F30</f>
        <v>Сума платежу за розрахунковий період, грн.</v>
      </c>
      <c r="H27" s="159"/>
      <c r="I27" s="3"/>
      <c r="K27" s="110"/>
    </row>
    <row r="28" spans="1:29" ht="12.6" hidden="1" customHeight="1" thickBot="1" x14ac:dyDescent="0.25">
      <c r="A28" s="1"/>
      <c r="B28" s="91">
        <v>0</v>
      </c>
      <c r="C28" s="115">
        <f ca="1">TODAY()</f>
        <v>45861</v>
      </c>
      <c r="D28" s="92"/>
      <c r="E28" s="93"/>
      <c r="F28" s="92"/>
      <c r="G28" s="160">
        <f>-1*E3</f>
        <v>-200000</v>
      </c>
      <c r="H28" s="161"/>
      <c r="I28" s="3"/>
      <c r="K28" s="110"/>
    </row>
    <row r="29" spans="1:29" x14ac:dyDescent="0.2">
      <c r="A29" s="1">
        <v>1</v>
      </c>
      <c r="B29" s="133">
        <v>1</v>
      </c>
      <c r="C29" s="130">
        <f ca="1">DATE(YEAR(C28),MONTH(C28)+1,DAY(C28))</f>
        <v>45892</v>
      </c>
      <c r="D29" s="126">
        <f>IFERROR(PPMT($F$9/12,B29,$F$15,-$E$17),0)</f>
        <v>13833.964723685436</v>
      </c>
      <c r="E29" s="119">
        <v>0</v>
      </c>
      <c r="F29" s="119">
        <f>IFERROR(IPMT($F$9/12,B29,$F$15,-$F$7),0)</f>
        <v>13225</v>
      </c>
      <c r="G29" s="162">
        <f>SUM(D29:F29)</f>
        <v>27058.964723685436</v>
      </c>
      <c r="H29" s="163"/>
      <c r="I29" s="3"/>
      <c r="K29" s="110"/>
    </row>
    <row r="30" spans="1:29" x14ac:dyDescent="0.2">
      <c r="A30" s="1">
        <v>2</v>
      </c>
      <c r="B30" s="134">
        <v>2</v>
      </c>
      <c r="C30" s="131">
        <f t="shared" ref="C30:C88" ca="1" si="0">DATE(YEAR(C29),MONTH(C29)+1,DAY(C29))</f>
        <v>45923</v>
      </c>
      <c r="D30" s="127">
        <f t="shared" ref="D30:D88" si="1">IFERROR(PPMT($F$9/12,B30,$F$15,-$E$17),0)</f>
        <v>14629.417695297347</v>
      </c>
      <c r="E30" s="120">
        <v>0</v>
      </c>
      <c r="F30" s="120">
        <f t="shared" ref="F30:F88" si="2">IFERROR(IPMT($F$9/12,B30,$F$15,-$F$7),0)</f>
        <v>12429.547028388086</v>
      </c>
      <c r="G30" s="147">
        <f t="shared" ref="G30:G88" si="3">SUM(D30:F30)</f>
        <v>27058.964723685433</v>
      </c>
      <c r="H30" s="148"/>
      <c r="I30" s="3"/>
      <c r="K30" s="110"/>
    </row>
    <row r="31" spans="1:29" x14ac:dyDescent="0.2">
      <c r="A31" s="1">
        <v>3</v>
      </c>
      <c r="B31" s="134">
        <v>3</v>
      </c>
      <c r="C31" s="131">
        <f t="shared" ca="1" si="0"/>
        <v>45953</v>
      </c>
      <c r="D31" s="127">
        <f t="shared" si="1"/>
        <v>15470.609212776946</v>
      </c>
      <c r="E31" s="120">
        <v>0</v>
      </c>
      <c r="F31" s="120">
        <f t="shared" si="2"/>
        <v>11588.355510908492</v>
      </c>
      <c r="G31" s="147">
        <f t="shared" si="3"/>
        <v>27058.964723685436</v>
      </c>
      <c r="H31" s="148"/>
      <c r="I31" s="3"/>
      <c r="K31" s="110"/>
    </row>
    <row r="32" spans="1:29" x14ac:dyDescent="0.2">
      <c r="A32" s="1">
        <v>4</v>
      </c>
      <c r="B32" s="134">
        <v>4</v>
      </c>
      <c r="C32" s="131">
        <f t="shared" ca="1" si="0"/>
        <v>45984</v>
      </c>
      <c r="D32" s="127">
        <f t="shared" si="1"/>
        <v>16360.169242511618</v>
      </c>
      <c r="E32" s="120">
        <v>0</v>
      </c>
      <c r="F32" s="120">
        <f t="shared" si="2"/>
        <v>10698.795481173818</v>
      </c>
      <c r="G32" s="147">
        <f t="shared" si="3"/>
        <v>27058.964723685436</v>
      </c>
      <c r="H32" s="148"/>
      <c r="I32" s="3"/>
      <c r="K32" s="110"/>
    </row>
    <row r="33" spans="1:11" x14ac:dyDescent="0.2">
      <c r="A33" s="1">
        <v>5</v>
      </c>
      <c r="B33" s="134">
        <v>5</v>
      </c>
      <c r="C33" s="131">
        <f t="shared" ca="1" si="0"/>
        <v>46014</v>
      </c>
      <c r="D33" s="127">
        <f t="shared" si="1"/>
        <v>17300.878973956038</v>
      </c>
      <c r="E33" s="120">
        <v>0</v>
      </c>
      <c r="F33" s="120">
        <f t="shared" si="2"/>
        <v>9758.0857497294</v>
      </c>
      <c r="G33" s="147">
        <f t="shared" si="3"/>
        <v>27058.964723685436</v>
      </c>
      <c r="H33" s="148"/>
      <c r="I33" s="3"/>
      <c r="K33" s="110"/>
    </row>
    <row r="34" spans="1:11" x14ac:dyDescent="0.2">
      <c r="A34" s="1">
        <v>6</v>
      </c>
      <c r="B34" s="134">
        <v>6</v>
      </c>
      <c r="C34" s="131">
        <f t="shared" ca="1" si="0"/>
        <v>46045</v>
      </c>
      <c r="D34" s="127">
        <f t="shared" si="1"/>
        <v>18295.679514958509</v>
      </c>
      <c r="E34" s="120">
        <v>0</v>
      </c>
      <c r="F34" s="120">
        <f t="shared" si="2"/>
        <v>8763.2852087269257</v>
      </c>
      <c r="G34" s="147">
        <f t="shared" si="3"/>
        <v>27058.964723685436</v>
      </c>
      <c r="H34" s="148"/>
      <c r="I34" s="3"/>
      <c r="K34" s="110"/>
    </row>
    <row r="35" spans="1:11" x14ac:dyDescent="0.2">
      <c r="A35" s="1">
        <v>7</v>
      </c>
      <c r="B35" s="134">
        <v>7</v>
      </c>
      <c r="C35" s="131">
        <f t="shared" ca="1" si="0"/>
        <v>46076</v>
      </c>
      <c r="D35" s="127">
        <f t="shared" si="1"/>
        <v>19347.681087068628</v>
      </c>
      <c r="E35" s="120">
        <v>0</v>
      </c>
      <c r="F35" s="120">
        <f t="shared" si="2"/>
        <v>7711.2836366168121</v>
      </c>
      <c r="G35" s="147">
        <f t="shared" si="3"/>
        <v>27058.96472368544</v>
      </c>
      <c r="H35" s="148"/>
      <c r="I35" s="3"/>
      <c r="K35" s="110"/>
    </row>
    <row r="36" spans="1:11" x14ac:dyDescent="0.2">
      <c r="A36" s="1">
        <v>8</v>
      </c>
      <c r="B36" s="134">
        <v>8</v>
      </c>
      <c r="C36" s="131">
        <f t="shared" ca="1" si="0"/>
        <v>46104</v>
      </c>
      <c r="D36" s="127">
        <f t="shared" si="1"/>
        <v>20460.172749575067</v>
      </c>
      <c r="E36" s="120">
        <v>0</v>
      </c>
      <c r="F36" s="120">
        <f t="shared" si="2"/>
        <v>6598.7919741103669</v>
      </c>
      <c r="G36" s="147">
        <f t="shared" si="3"/>
        <v>27058.964723685436</v>
      </c>
      <c r="H36" s="148"/>
      <c r="I36" s="3"/>
      <c r="K36" s="110"/>
    </row>
    <row r="37" spans="1:11" x14ac:dyDescent="0.2">
      <c r="A37" s="1">
        <v>9</v>
      </c>
      <c r="B37" s="134">
        <v>9</v>
      </c>
      <c r="C37" s="131">
        <f t="shared" ca="1" si="0"/>
        <v>46135</v>
      </c>
      <c r="D37" s="127">
        <f t="shared" si="1"/>
        <v>21636.632682675634</v>
      </c>
      <c r="E37" s="120">
        <v>0</v>
      </c>
      <c r="F37" s="120">
        <f t="shared" si="2"/>
        <v>5422.3320410097995</v>
      </c>
      <c r="G37" s="147">
        <f t="shared" si="3"/>
        <v>27058.964723685433</v>
      </c>
      <c r="H37" s="148"/>
      <c r="I37" s="3"/>
      <c r="K37" s="110"/>
    </row>
    <row r="38" spans="1:11" x14ac:dyDescent="0.2">
      <c r="A38" s="1">
        <v>10</v>
      </c>
      <c r="B38" s="134">
        <v>10</v>
      </c>
      <c r="C38" s="131">
        <f t="shared" ca="1" si="0"/>
        <v>46165</v>
      </c>
      <c r="D38" s="127">
        <f t="shared" si="1"/>
        <v>22880.739061929486</v>
      </c>
      <c r="E38" s="120">
        <v>0</v>
      </c>
      <c r="F38" s="120">
        <f t="shared" si="2"/>
        <v>4178.2256617559506</v>
      </c>
      <c r="G38" s="147">
        <f t="shared" si="3"/>
        <v>27058.964723685436</v>
      </c>
      <c r="H38" s="148"/>
      <c r="I38" s="3"/>
      <c r="K38" s="110"/>
    </row>
    <row r="39" spans="1:11" x14ac:dyDescent="0.2">
      <c r="A39" s="1">
        <v>22</v>
      </c>
      <c r="B39" s="134">
        <v>11</v>
      </c>
      <c r="C39" s="131">
        <f t="shared" ca="1" si="0"/>
        <v>46196</v>
      </c>
      <c r="D39" s="127">
        <f t="shared" si="1"/>
        <v>24196.381557990429</v>
      </c>
      <c r="E39" s="120">
        <v>0</v>
      </c>
      <c r="F39" s="120">
        <f t="shared" si="2"/>
        <v>2862.5831656950049</v>
      </c>
      <c r="G39" s="147">
        <f t="shared" si="3"/>
        <v>27058.964723685436</v>
      </c>
      <c r="H39" s="148"/>
      <c r="I39" s="3"/>
      <c r="K39" s="110"/>
    </row>
    <row r="40" spans="1:11" x14ac:dyDescent="0.2">
      <c r="A40" s="1">
        <v>22</v>
      </c>
      <c r="B40" s="134">
        <v>12</v>
      </c>
      <c r="C40" s="131">
        <f t="shared" ca="1" si="0"/>
        <v>46226</v>
      </c>
      <c r="D40" s="127">
        <f t="shared" si="1"/>
        <v>25587.67349757488</v>
      </c>
      <c r="E40" s="120">
        <v>0</v>
      </c>
      <c r="F40" s="120">
        <f t="shared" si="2"/>
        <v>1471.2912261105555</v>
      </c>
      <c r="G40" s="147">
        <f t="shared" si="3"/>
        <v>27058.964723685436</v>
      </c>
      <c r="H40" s="148"/>
      <c r="I40" s="3"/>
      <c r="K40" s="110"/>
    </row>
    <row r="41" spans="1:11" x14ac:dyDescent="0.2">
      <c r="A41" s="1">
        <v>13</v>
      </c>
      <c r="B41" s="134">
        <v>13</v>
      </c>
      <c r="C41" s="131">
        <f t="shared" ca="1" si="0"/>
        <v>46257</v>
      </c>
      <c r="D41" s="127">
        <f t="shared" si="1"/>
        <v>0</v>
      </c>
      <c r="E41" s="120">
        <v>0</v>
      </c>
      <c r="F41" s="120">
        <f t="shared" si="2"/>
        <v>0</v>
      </c>
      <c r="G41" s="147">
        <f t="shared" si="3"/>
        <v>0</v>
      </c>
      <c r="H41" s="148"/>
      <c r="I41" s="3"/>
      <c r="K41" s="110"/>
    </row>
    <row r="42" spans="1:11" x14ac:dyDescent="0.2">
      <c r="A42" s="1">
        <v>14</v>
      </c>
      <c r="B42" s="134">
        <v>14</v>
      </c>
      <c r="C42" s="131">
        <f t="shared" ca="1" si="0"/>
        <v>46288</v>
      </c>
      <c r="D42" s="127">
        <f t="shared" si="1"/>
        <v>0</v>
      </c>
      <c r="E42" s="120">
        <v>0</v>
      </c>
      <c r="F42" s="120">
        <f t="shared" si="2"/>
        <v>0</v>
      </c>
      <c r="G42" s="147">
        <f t="shared" si="3"/>
        <v>0</v>
      </c>
      <c r="H42" s="148"/>
      <c r="I42" s="3"/>
      <c r="K42" s="110"/>
    </row>
    <row r="43" spans="1:11" x14ac:dyDescent="0.2">
      <c r="A43" s="1">
        <v>15</v>
      </c>
      <c r="B43" s="134">
        <v>15</v>
      </c>
      <c r="C43" s="131">
        <f t="shared" ca="1" si="0"/>
        <v>46318</v>
      </c>
      <c r="D43" s="127">
        <f t="shared" si="1"/>
        <v>0</v>
      </c>
      <c r="E43" s="120">
        <v>0</v>
      </c>
      <c r="F43" s="120">
        <f t="shared" si="2"/>
        <v>0</v>
      </c>
      <c r="G43" s="147">
        <f t="shared" si="3"/>
        <v>0</v>
      </c>
      <c r="H43" s="148"/>
      <c r="I43" s="3"/>
      <c r="K43" s="110"/>
    </row>
    <row r="44" spans="1:11" x14ac:dyDescent="0.2">
      <c r="A44" s="1">
        <v>16</v>
      </c>
      <c r="B44" s="134">
        <v>16</v>
      </c>
      <c r="C44" s="131">
        <f t="shared" ca="1" si="0"/>
        <v>46349</v>
      </c>
      <c r="D44" s="127">
        <f t="shared" si="1"/>
        <v>0</v>
      </c>
      <c r="E44" s="120">
        <v>0</v>
      </c>
      <c r="F44" s="120">
        <f t="shared" si="2"/>
        <v>0</v>
      </c>
      <c r="G44" s="147">
        <f t="shared" si="3"/>
        <v>0</v>
      </c>
      <c r="H44" s="148"/>
      <c r="I44" s="3"/>
      <c r="K44" s="110"/>
    </row>
    <row r="45" spans="1:11" x14ac:dyDescent="0.2">
      <c r="A45" s="1">
        <v>22</v>
      </c>
      <c r="B45" s="134">
        <v>17</v>
      </c>
      <c r="C45" s="131">
        <f t="shared" ca="1" si="0"/>
        <v>46379</v>
      </c>
      <c r="D45" s="127">
        <f t="shared" si="1"/>
        <v>0</v>
      </c>
      <c r="E45" s="120">
        <v>0</v>
      </c>
      <c r="F45" s="120">
        <f t="shared" si="2"/>
        <v>0</v>
      </c>
      <c r="G45" s="147">
        <f t="shared" si="3"/>
        <v>0</v>
      </c>
      <c r="H45" s="148"/>
      <c r="I45" s="3"/>
      <c r="K45" s="110"/>
    </row>
    <row r="46" spans="1:11" x14ac:dyDescent="0.2">
      <c r="A46" s="1">
        <v>22</v>
      </c>
      <c r="B46" s="134">
        <v>18</v>
      </c>
      <c r="C46" s="131">
        <f t="shared" ca="1" si="0"/>
        <v>46410</v>
      </c>
      <c r="D46" s="127">
        <f t="shared" si="1"/>
        <v>0</v>
      </c>
      <c r="E46" s="120">
        <v>0</v>
      </c>
      <c r="F46" s="120">
        <f t="shared" si="2"/>
        <v>0</v>
      </c>
      <c r="G46" s="147">
        <f t="shared" si="3"/>
        <v>0</v>
      </c>
      <c r="H46" s="148"/>
      <c r="I46" s="3"/>
      <c r="K46" s="110"/>
    </row>
    <row r="47" spans="1:11" x14ac:dyDescent="0.2">
      <c r="A47" s="1">
        <v>19</v>
      </c>
      <c r="B47" s="134">
        <v>19</v>
      </c>
      <c r="C47" s="131">
        <f t="shared" ca="1" si="0"/>
        <v>46441</v>
      </c>
      <c r="D47" s="127">
        <f t="shared" si="1"/>
        <v>0</v>
      </c>
      <c r="E47" s="120">
        <v>0</v>
      </c>
      <c r="F47" s="120">
        <f t="shared" si="2"/>
        <v>0</v>
      </c>
      <c r="G47" s="147">
        <f t="shared" si="3"/>
        <v>0</v>
      </c>
      <c r="H47" s="148"/>
      <c r="I47" s="3"/>
      <c r="K47" s="110"/>
    </row>
    <row r="48" spans="1:11" x14ac:dyDescent="0.2">
      <c r="A48" s="1">
        <v>20</v>
      </c>
      <c r="B48" s="134">
        <v>20</v>
      </c>
      <c r="C48" s="131">
        <f t="shared" ca="1" si="0"/>
        <v>46469</v>
      </c>
      <c r="D48" s="127">
        <f t="shared" si="1"/>
        <v>0</v>
      </c>
      <c r="E48" s="120">
        <v>0</v>
      </c>
      <c r="F48" s="120">
        <f t="shared" si="2"/>
        <v>0</v>
      </c>
      <c r="G48" s="147">
        <f t="shared" si="3"/>
        <v>0</v>
      </c>
      <c r="H48" s="148"/>
      <c r="I48" s="3"/>
      <c r="K48" s="110"/>
    </row>
    <row r="49" spans="1:11" x14ac:dyDescent="0.2">
      <c r="A49" s="49">
        <v>21</v>
      </c>
      <c r="B49" s="134">
        <v>21</v>
      </c>
      <c r="C49" s="131">
        <f t="shared" ca="1" si="0"/>
        <v>46500</v>
      </c>
      <c r="D49" s="127">
        <f t="shared" si="1"/>
        <v>0</v>
      </c>
      <c r="E49" s="120">
        <v>0</v>
      </c>
      <c r="F49" s="120">
        <f t="shared" si="2"/>
        <v>0</v>
      </c>
      <c r="G49" s="147">
        <f t="shared" si="3"/>
        <v>0</v>
      </c>
      <c r="H49" s="148"/>
      <c r="I49" s="3"/>
      <c r="K49" s="110"/>
    </row>
    <row r="50" spans="1:11" x14ac:dyDescent="0.2">
      <c r="A50" s="49">
        <v>22</v>
      </c>
      <c r="B50" s="134">
        <v>22</v>
      </c>
      <c r="C50" s="131">
        <f t="shared" ca="1" si="0"/>
        <v>46530</v>
      </c>
      <c r="D50" s="127">
        <f t="shared" si="1"/>
        <v>0</v>
      </c>
      <c r="E50" s="120">
        <v>0</v>
      </c>
      <c r="F50" s="120">
        <f t="shared" si="2"/>
        <v>0</v>
      </c>
      <c r="G50" s="147">
        <f t="shared" si="3"/>
        <v>0</v>
      </c>
      <c r="H50" s="148"/>
      <c r="I50" s="3"/>
    </row>
    <row r="51" spans="1:11" x14ac:dyDescent="0.2">
      <c r="A51" s="49">
        <v>25</v>
      </c>
      <c r="B51" s="134">
        <v>23</v>
      </c>
      <c r="C51" s="131">
        <f t="shared" ca="1" si="0"/>
        <v>46561</v>
      </c>
      <c r="D51" s="127">
        <f t="shared" si="1"/>
        <v>0</v>
      </c>
      <c r="E51" s="120">
        <v>0</v>
      </c>
      <c r="F51" s="120">
        <f t="shared" si="2"/>
        <v>0</v>
      </c>
      <c r="G51" s="147">
        <f t="shared" si="3"/>
        <v>0</v>
      </c>
      <c r="H51" s="148"/>
      <c r="I51" s="3"/>
    </row>
    <row r="52" spans="1:11" x14ac:dyDescent="0.2">
      <c r="A52" s="49"/>
      <c r="B52" s="134">
        <v>24</v>
      </c>
      <c r="C52" s="131">
        <f t="shared" ca="1" si="0"/>
        <v>46591</v>
      </c>
      <c r="D52" s="127">
        <f t="shared" si="1"/>
        <v>0</v>
      </c>
      <c r="E52" s="120">
        <v>0</v>
      </c>
      <c r="F52" s="120">
        <f t="shared" si="2"/>
        <v>0</v>
      </c>
      <c r="G52" s="147">
        <f t="shared" si="3"/>
        <v>0</v>
      </c>
      <c r="H52" s="148"/>
      <c r="I52" s="3"/>
    </row>
    <row r="53" spans="1:11" x14ac:dyDescent="0.2">
      <c r="A53" s="49"/>
      <c r="B53" s="134">
        <v>25</v>
      </c>
      <c r="C53" s="131">
        <f t="shared" ca="1" si="0"/>
        <v>46622</v>
      </c>
      <c r="D53" s="127">
        <f t="shared" si="1"/>
        <v>0</v>
      </c>
      <c r="E53" s="120">
        <v>0</v>
      </c>
      <c r="F53" s="120">
        <f t="shared" si="2"/>
        <v>0</v>
      </c>
      <c r="G53" s="147">
        <f t="shared" si="3"/>
        <v>0</v>
      </c>
      <c r="H53" s="148"/>
      <c r="I53" s="3"/>
    </row>
    <row r="54" spans="1:11" x14ac:dyDescent="0.2">
      <c r="A54" s="49"/>
      <c r="B54" s="134">
        <v>26</v>
      </c>
      <c r="C54" s="131">
        <f t="shared" ca="1" si="0"/>
        <v>46653</v>
      </c>
      <c r="D54" s="127">
        <f t="shared" si="1"/>
        <v>0</v>
      </c>
      <c r="E54" s="120">
        <v>0</v>
      </c>
      <c r="F54" s="120">
        <f t="shared" si="2"/>
        <v>0</v>
      </c>
      <c r="G54" s="147">
        <f t="shared" si="3"/>
        <v>0</v>
      </c>
      <c r="H54" s="148"/>
      <c r="I54" s="3"/>
    </row>
    <row r="55" spans="1:11" x14ac:dyDescent="0.2">
      <c r="A55" s="49"/>
      <c r="B55" s="134">
        <v>27</v>
      </c>
      <c r="C55" s="131">
        <f t="shared" ca="1" si="0"/>
        <v>46683</v>
      </c>
      <c r="D55" s="127">
        <f t="shared" si="1"/>
        <v>0</v>
      </c>
      <c r="E55" s="120">
        <v>0</v>
      </c>
      <c r="F55" s="120">
        <f t="shared" si="2"/>
        <v>0</v>
      </c>
      <c r="G55" s="147">
        <f t="shared" si="3"/>
        <v>0</v>
      </c>
      <c r="H55" s="148"/>
      <c r="I55" s="3"/>
    </row>
    <row r="56" spans="1:11" x14ac:dyDescent="0.2">
      <c r="A56" s="49"/>
      <c r="B56" s="134">
        <v>28</v>
      </c>
      <c r="C56" s="131">
        <f t="shared" ca="1" si="0"/>
        <v>46714</v>
      </c>
      <c r="D56" s="127">
        <f t="shared" si="1"/>
        <v>0</v>
      </c>
      <c r="E56" s="120">
        <v>0</v>
      </c>
      <c r="F56" s="120">
        <f t="shared" si="2"/>
        <v>0</v>
      </c>
      <c r="G56" s="147">
        <f t="shared" si="3"/>
        <v>0</v>
      </c>
      <c r="H56" s="148"/>
      <c r="I56" s="3"/>
    </row>
    <row r="57" spans="1:11" x14ac:dyDescent="0.2">
      <c r="A57" s="49"/>
      <c r="B57" s="134">
        <v>29</v>
      </c>
      <c r="C57" s="131">
        <f t="shared" ca="1" si="0"/>
        <v>46744</v>
      </c>
      <c r="D57" s="127">
        <f t="shared" si="1"/>
        <v>0</v>
      </c>
      <c r="E57" s="120">
        <v>0</v>
      </c>
      <c r="F57" s="120">
        <f t="shared" si="2"/>
        <v>0</v>
      </c>
      <c r="G57" s="147">
        <f t="shared" si="3"/>
        <v>0</v>
      </c>
      <c r="H57" s="148"/>
      <c r="I57" s="3"/>
    </row>
    <row r="58" spans="1:11" x14ac:dyDescent="0.2">
      <c r="A58" s="49">
        <v>25</v>
      </c>
      <c r="B58" s="134">
        <v>30</v>
      </c>
      <c r="C58" s="131">
        <f t="shared" ca="1" si="0"/>
        <v>46775</v>
      </c>
      <c r="D58" s="127">
        <f t="shared" si="1"/>
        <v>0</v>
      </c>
      <c r="E58" s="120">
        <v>0</v>
      </c>
      <c r="F58" s="120">
        <f t="shared" si="2"/>
        <v>0</v>
      </c>
      <c r="G58" s="147">
        <f t="shared" si="3"/>
        <v>0</v>
      </c>
      <c r="H58" s="148"/>
      <c r="I58" s="103"/>
      <c r="J58" s="103"/>
    </row>
    <row r="59" spans="1:11" x14ac:dyDescent="0.2">
      <c r="A59" s="49"/>
      <c r="B59" s="134">
        <v>31</v>
      </c>
      <c r="C59" s="131">
        <f t="shared" ca="1" si="0"/>
        <v>46806</v>
      </c>
      <c r="D59" s="127">
        <f t="shared" si="1"/>
        <v>0</v>
      </c>
      <c r="E59" s="120">
        <v>0</v>
      </c>
      <c r="F59" s="120">
        <f t="shared" si="2"/>
        <v>0</v>
      </c>
      <c r="G59" s="147">
        <f t="shared" si="3"/>
        <v>0</v>
      </c>
      <c r="H59" s="148"/>
      <c r="I59" s="103"/>
      <c r="J59" s="103"/>
    </row>
    <row r="60" spans="1:11" x14ac:dyDescent="0.2">
      <c r="A60" s="49"/>
      <c r="B60" s="134">
        <v>32</v>
      </c>
      <c r="C60" s="131">
        <f t="shared" ca="1" si="0"/>
        <v>46835</v>
      </c>
      <c r="D60" s="127">
        <f t="shared" si="1"/>
        <v>0</v>
      </c>
      <c r="E60" s="120">
        <v>0</v>
      </c>
      <c r="F60" s="120">
        <f t="shared" si="2"/>
        <v>0</v>
      </c>
      <c r="G60" s="147">
        <f t="shared" si="3"/>
        <v>0</v>
      </c>
      <c r="H60" s="148"/>
      <c r="I60" s="103"/>
      <c r="J60" s="103"/>
    </row>
    <row r="61" spans="1:11" x14ac:dyDescent="0.2">
      <c r="A61" s="49"/>
      <c r="B61" s="134">
        <v>33</v>
      </c>
      <c r="C61" s="131">
        <f t="shared" ca="1" si="0"/>
        <v>46866</v>
      </c>
      <c r="D61" s="127">
        <f t="shared" si="1"/>
        <v>0</v>
      </c>
      <c r="E61" s="120">
        <v>0</v>
      </c>
      <c r="F61" s="120">
        <f t="shared" si="2"/>
        <v>0</v>
      </c>
      <c r="G61" s="147">
        <f t="shared" si="3"/>
        <v>0</v>
      </c>
      <c r="H61" s="148"/>
      <c r="I61" s="103"/>
      <c r="J61" s="103"/>
    </row>
    <row r="62" spans="1:11" x14ac:dyDescent="0.2">
      <c r="A62" s="49"/>
      <c r="B62" s="134">
        <v>34</v>
      </c>
      <c r="C62" s="131">
        <f t="shared" ca="1" si="0"/>
        <v>46896</v>
      </c>
      <c r="D62" s="127">
        <f t="shared" si="1"/>
        <v>0</v>
      </c>
      <c r="E62" s="120">
        <v>0</v>
      </c>
      <c r="F62" s="120">
        <f t="shared" si="2"/>
        <v>0</v>
      </c>
      <c r="G62" s="147">
        <f t="shared" si="3"/>
        <v>0</v>
      </c>
      <c r="H62" s="148"/>
      <c r="I62" s="103"/>
      <c r="J62" s="103"/>
    </row>
    <row r="63" spans="1:11" x14ac:dyDescent="0.2">
      <c r="A63" s="49"/>
      <c r="B63" s="134">
        <v>35</v>
      </c>
      <c r="C63" s="131">
        <f t="shared" ca="1" si="0"/>
        <v>46927</v>
      </c>
      <c r="D63" s="127">
        <f t="shared" si="1"/>
        <v>0</v>
      </c>
      <c r="E63" s="120">
        <v>0</v>
      </c>
      <c r="F63" s="120">
        <f t="shared" si="2"/>
        <v>0</v>
      </c>
      <c r="G63" s="147">
        <f t="shared" si="3"/>
        <v>0</v>
      </c>
      <c r="H63" s="148"/>
      <c r="I63" s="103"/>
      <c r="J63" s="103"/>
    </row>
    <row r="64" spans="1:11" x14ac:dyDescent="0.2">
      <c r="A64" s="49"/>
      <c r="B64" s="134">
        <v>36</v>
      </c>
      <c r="C64" s="131">
        <f t="shared" ca="1" si="0"/>
        <v>46957</v>
      </c>
      <c r="D64" s="127">
        <f t="shared" si="1"/>
        <v>0</v>
      </c>
      <c r="E64" s="120">
        <v>0</v>
      </c>
      <c r="F64" s="120">
        <f t="shared" si="2"/>
        <v>0</v>
      </c>
      <c r="G64" s="147">
        <f t="shared" si="3"/>
        <v>0</v>
      </c>
      <c r="H64" s="148"/>
      <c r="I64" s="103"/>
      <c r="J64" s="103"/>
    </row>
    <row r="65" spans="1:10" x14ac:dyDescent="0.2">
      <c r="A65" s="49"/>
      <c r="B65" s="134">
        <v>37</v>
      </c>
      <c r="C65" s="131">
        <f t="shared" ca="1" si="0"/>
        <v>46988</v>
      </c>
      <c r="D65" s="127">
        <f t="shared" si="1"/>
        <v>0</v>
      </c>
      <c r="E65" s="120">
        <v>0</v>
      </c>
      <c r="F65" s="120">
        <f t="shared" si="2"/>
        <v>0</v>
      </c>
      <c r="G65" s="147">
        <f t="shared" si="3"/>
        <v>0</v>
      </c>
      <c r="H65" s="148"/>
      <c r="I65" s="103"/>
      <c r="J65" s="103"/>
    </row>
    <row r="66" spans="1:10" x14ac:dyDescent="0.2">
      <c r="A66" s="49"/>
      <c r="B66" s="134">
        <v>38</v>
      </c>
      <c r="C66" s="131">
        <f t="shared" ca="1" si="0"/>
        <v>47019</v>
      </c>
      <c r="D66" s="127">
        <f t="shared" si="1"/>
        <v>0</v>
      </c>
      <c r="E66" s="120">
        <v>0</v>
      </c>
      <c r="F66" s="120">
        <f t="shared" si="2"/>
        <v>0</v>
      </c>
      <c r="G66" s="147">
        <f t="shared" si="3"/>
        <v>0</v>
      </c>
      <c r="H66" s="148"/>
      <c r="I66" s="103"/>
      <c r="J66" s="103"/>
    </row>
    <row r="67" spans="1:10" x14ac:dyDescent="0.2">
      <c r="A67" s="49"/>
      <c r="B67" s="134">
        <v>39</v>
      </c>
      <c r="C67" s="131">
        <f t="shared" ca="1" si="0"/>
        <v>47049</v>
      </c>
      <c r="D67" s="127">
        <f t="shared" si="1"/>
        <v>0</v>
      </c>
      <c r="E67" s="120">
        <v>0</v>
      </c>
      <c r="F67" s="120">
        <f t="shared" si="2"/>
        <v>0</v>
      </c>
      <c r="G67" s="147">
        <f t="shared" si="3"/>
        <v>0</v>
      </c>
      <c r="H67" s="148"/>
      <c r="I67" s="103"/>
      <c r="J67" s="103"/>
    </row>
    <row r="68" spans="1:10" x14ac:dyDescent="0.2">
      <c r="A68" s="49"/>
      <c r="B68" s="134">
        <v>40</v>
      </c>
      <c r="C68" s="131">
        <f t="shared" ca="1" si="0"/>
        <v>47080</v>
      </c>
      <c r="D68" s="127">
        <f t="shared" si="1"/>
        <v>0</v>
      </c>
      <c r="E68" s="120">
        <v>0</v>
      </c>
      <c r="F68" s="120">
        <f t="shared" si="2"/>
        <v>0</v>
      </c>
      <c r="G68" s="147">
        <f t="shared" si="3"/>
        <v>0</v>
      </c>
      <c r="H68" s="148"/>
      <c r="I68" s="103"/>
      <c r="J68" s="103"/>
    </row>
    <row r="69" spans="1:10" x14ac:dyDescent="0.2">
      <c r="A69" s="49"/>
      <c r="B69" s="134">
        <v>41</v>
      </c>
      <c r="C69" s="131">
        <f t="shared" ca="1" si="0"/>
        <v>47110</v>
      </c>
      <c r="D69" s="127">
        <f t="shared" si="1"/>
        <v>0</v>
      </c>
      <c r="E69" s="120">
        <v>0</v>
      </c>
      <c r="F69" s="120">
        <f t="shared" si="2"/>
        <v>0</v>
      </c>
      <c r="G69" s="147">
        <f t="shared" si="3"/>
        <v>0</v>
      </c>
      <c r="H69" s="148"/>
      <c r="I69" s="103"/>
      <c r="J69" s="103"/>
    </row>
    <row r="70" spans="1:10" x14ac:dyDescent="0.2">
      <c r="A70" s="49"/>
      <c r="B70" s="134">
        <v>42</v>
      </c>
      <c r="C70" s="131">
        <f t="shared" ca="1" si="0"/>
        <v>47141</v>
      </c>
      <c r="D70" s="127">
        <f t="shared" si="1"/>
        <v>0</v>
      </c>
      <c r="E70" s="120">
        <v>0</v>
      </c>
      <c r="F70" s="120">
        <f t="shared" si="2"/>
        <v>0</v>
      </c>
      <c r="G70" s="147">
        <f t="shared" si="3"/>
        <v>0</v>
      </c>
      <c r="H70" s="148"/>
      <c r="I70" s="103"/>
      <c r="J70" s="103"/>
    </row>
    <row r="71" spans="1:10" x14ac:dyDescent="0.2">
      <c r="A71" s="49"/>
      <c r="B71" s="134">
        <v>43</v>
      </c>
      <c r="C71" s="131">
        <f t="shared" ca="1" si="0"/>
        <v>47172</v>
      </c>
      <c r="D71" s="127">
        <f t="shared" si="1"/>
        <v>0</v>
      </c>
      <c r="E71" s="120">
        <v>0</v>
      </c>
      <c r="F71" s="120">
        <f t="shared" si="2"/>
        <v>0</v>
      </c>
      <c r="G71" s="147">
        <f t="shared" si="3"/>
        <v>0</v>
      </c>
      <c r="H71" s="148"/>
      <c r="I71" s="103"/>
      <c r="J71" s="103"/>
    </row>
    <row r="72" spans="1:10" x14ac:dyDescent="0.2">
      <c r="A72" s="49"/>
      <c r="B72" s="134">
        <v>44</v>
      </c>
      <c r="C72" s="131">
        <f t="shared" ca="1" si="0"/>
        <v>47200</v>
      </c>
      <c r="D72" s="127">
        <f t="shared" si="1"/>
        <v>0</v>
      </c>
      <c r="E72" s="120">
        <v>0</v>
      </c>
      <c r="F72" s="120">
        <f t="shared" si="2"/>
        <v>0</v>
      </c>
      <c r="G72" s="147">
        <f t="shared" si="3"/>
        <v>0</v>
      </c>
      <c r="H72" s="148"/>
      <c r="I72" s="103"/>
      <c r="J72" s="103"/>
    </row>
    <row r="73" spans="1:10" x14ac:dyDescent="0.2">
      <c r="A73" s="49"/>
      <c r="B73" s="134">
        <v>45</v>
      </c>
      <c r="C73" s="131">
        <f t="shared" ca="1" si="0"/>
        <v>47231</v>
      </c>
      <c r="D73" s="127">
        <f t="shared" si="1"/>
        <v>0</v>
      </c>
      <c r="E73" s="120">
        <v>0</v>
      </c>
      <c r="F73" s="120">
        <f t="shared" si="2"/>
        <v>0</v>
      </c>
      <c r="G73" s="147">
        <f t="shared" si="3"/>
        <v>0</v>
      </c>
      <c r="H73" s="148"/>
      <c r="I73" s="103"/>
      <c r="J73" s="103"/>
    </row>
    <row r="74" spans="1:10" x14ac:dyDescent="0.2">
      <c r="A74" s="49"/>
      <c r="B74" s="134">
        <v>46</v>
      </c>
      <c r="C74" s="131">
        <f t="shared" ca="1" si="0"/>
        <v>47261</v>
      </c>
      <c r="D74" s="127">
        <f t="shared" si="1"/>
        <v>0</v>
      </c>
      <c r="E74" s="120">
        <v>0</v>
      </c>
      <c r="F74" s="120">
        <f t="shared" si="2"/>
        <v>0</v>
      </c>
      <c r="G74" s="147">
        <f t="shared" si="3"/>
        <v>0</v>
      </c>
      <c r="H74" s="148"/>
      <c r="I74" s="103"/>
      <c r="J74" s="103"/>
    </row>
    <row r="75" spans="1:10" x14ac:dyDescent="0.2">
      <c r="A75" s="49"/>
      <c r="B75" s="134">
        <v>47</v>
      </c>
      <c r="C75" s="131">
        <f t="shared" ca="1" si="0"/>
        <v>47292</v>
      </c>
      <c r="D75" s="127">
        <f t="shared" si="1"/>
        <v>0</v>
      </c>
      <c r="E75" s="120">
        <v>0</v>
      </c>
      <c r="F75" s="120">
        <f t="shared" si="2"/>
        <v>0</v>
      </c>
      <c r="G75" s="147">
        <f t="shared" si="3"/>
        <v>0</v>
      </c>
      <c r="H75" s="148"/>
      <c r="I75" s="103"/>
      <c r="J75" s="103"/>
    </row>
    <row r="76" spans="1:10" x14ac:dyDescent="0.2">
      <c r="A76" s="49"/>
      <c r="B76" s="134">
        <v>48</v>
      </c>
      <c r="C76" s="131">
        <f t="shared" ca="1" si="0"/>
        <v>47322</v>
      </c>
      <c r="D76" s="127">
        <f t="shared" si="1"/>
        <v>0</v>
      </c>
      <c r="E76" s="120">
        <v>0</v>
      </c>
      <c r="F76" s="120">
        <f t="shared" si="2"/>
        <v>0</v>
      </c>
      <c r="G76" s="147">
        <f t="shared" si="3"/>
        <v>0</v>
      </c>
      <c r="H76" s="148"/>
      <c r="I76" s="103"/>
      <c r="J76" s="103"/>
    </row>
    <row r="77" spans="1:10" x14ac:dyDescent="0.2">
      <c r="A77" s="49"/>
      <c r="B77" s="134">
        <v>49</v>
      </c>
      <c r="C77" s="131">
        <f t="shared" ca="1" si="0"/>
        <v>47353</v>
      </c>
      <c r="D77" s="127">
        <f t="shared" si="1"/>
        <v>0</v>
      </c>
      <c r="E77" s="120">
        <v>0</v>
      </c>
      <c r="F77" s="120">
        <f t="shared" si="2"/>
        <v>0</v>
      </c>
      <c r="G77" s="147">
        <f t="shared" si="3"/>
        <v>0</v>
      </c>
      <c r="H77" s="148"/>
      <c r="I77" s="103"/>
      <c r="J77" s="103"/>
    </row>
    <row r="78" spans="1:10" x14ac:dyDescent="0.2">
      <c r="A78" s="49"/>
      <c r="B78" s="134">
        <v>50</v>
      </c>
      <c r="C78" s="131">
        <f t="shared" ca="1" si="0"/>
        <v>47384</v>
      </c>
      <c r="D78" s="127">
        <f t="shared" si="1"/>
        <v>0</v>
      </c>
      <c r="E78" s="120">
        <v>0</v>
      </c>
      <c r="F78" s="120">
        <f t="shared" si="2"/>
        <v>0</v>
      </c>
      <c r="G78" s="147">
        <f t="shared" si="3"/>
        <v>0</v>
      </c>
      <c r="H78" s="148"/>
      <c r="I78" s="103"/>
      <c r="J78" s="103"/>
    </row>
    <row r="79" spans="1:10" x14ac:dyDescent="0.2">
      <c r="A79" s="49"/>
      <c r="B79" s="134">
        <v>51</v>
      </c>
      <c r="C79" s="131">
        <f t="shared" ca="1" si="0"/>
        <v>47414</v>
      </c>
      <c r="D79" s="127">
        <f t="shared" si="1"/>
        <v>0</v>
      </c>
      <c r="E79" s="120">
        <v>0</v>
      </c>
      <c r="F79" s="120">
        <f t="shared" si="2"/>
        <v>0</v>
      </c>
      <c r="G79" s="147">
        <f t="shared" si="3"/>
        <v>0</v>
      </c>
      <c r="H79" s="148"/>
      <c r="I79" s="103"/>
      <c r="J79" s="103"/>
    </row>
    <row r="80" spans="1:10" x14ac:dyDescent="0.2">
      <c r="A80" s="49"/>
      <c r="B80" s="134">
        <v>52</v>
      </c>
      <c r="C80" s="131">
        <f t="shared" ca="1" si="0"/>
        <v>47445</v>
      </c>
      <c r="D80" s="127">
        <f t="shared" si="1"/>
        <v>0</v>
      </c>
      <c r="E80" s="120">
        <v>0</v>
      </c>
      <c r="F80" s="120">
        <f t="shared" si="2"/>
        <v>0</v>
      </c>
      <c r="G80" s="147">
        <f t="shared" si="3"/>
        <v>0</v>
      </c>
      <c r="H80" s="148"/>
      <c r="I80" s="103"/>
      <c r="J80" s="103"/>
    </row>
    <row r="81" spans="1:10" x14ac:dyDescent="0.2">
      <c r="A81" s="49"/>
      <c r="B81" s="134">
        <v>53</v>
      </c>
      <c r="C81" s="131">
        <f t="shared" ca="1" si="0"/>
        <v>47475</v>
      </c>
      <c r="D81" s="127">
        <f t="shared" si="1"/>
        <v>0</v>
      </c>
      <c r="E81" s="120">
        <v>0</v>
      </c>
      <c r="F81" s="120">
        <f t="shared" si="2"/>
        <v>0</v>
      </c>
      <c r="G81" s="147">
        <f t="shared" si="3"/>
        <v>0</v>
      </c>
      <c r="H81" s="148"/>
      <c r="I81" s="103"/>
      <c r="J81" s="103"/>
    </row>
    <row r="82" spans="1:10" x14ac:dyDescent="0.2">
      <c r="A82" s="49"/>
      <c r="B82" s="134">
        <v>54</v>
      </c>
      <c r="C82" s="131">
        <f t="shared" ca="1" si="0"/>
        <v>47506</v>
      </c>
      <c r="D82" s="127">
        <f t="shared" si="1"/>
        <v>0</v>
      </c>
      <c r="E82" s="120">
        <v>0</v>
      </c>
      <c r="F82" s="120">
        <f t="shared" si="2"/>
        <v>0</v>
      </c>
      <c r="G82" s="147">
        <f t="shared" si="3"/>
        <v>0</v>
      </c>
      <c r="H82" s="148"/>
      <c r="I82" s="103"/>
      <c r="J82" s="103"/>
    </row>
    <row r="83" spans="1:10" x14ac:dyDescent="0.2">
      <c r="A83" s="49"/>
      <c r="B83" s="134">
        <v>55</v>
      </c>
      <c r="C83" s="131">
        <f t="shared" ca="1" si="0"/>
        <v>47537</v>
      </c>
      <c r="D83" s="127">
        <f t="shared" si="1"/>
        <v>0</v>
      </c>
      <c r="E83" s="120">
        <v>0</v>
      </c>
      <c r="F83" s="120">
        <f t="shared" si="2"/>
        <v>0</v>
      </c>
      <c r="G83" s="147">
        <f t="shared" si="3"/>
        <v>0</v>
      </c>
      <c r="H83" s="148"/>
      <c r="I83" s="103"/>
      <c r="J83" s="103"/>
    </row>
    <row r="84" spans="1:10" x14ac:dyDescent="0.2">
      <c r="A84" s="49"/>
      <c r="B84" s="134">
        <v>56</v>
      </c>
      <c r="C84" s="131">
        <f t="shared" ca="1" si="0"/>
        <v>47565</v>
      </c>
      <c r="D84" s="127">
        <f t="shared" si="1"/>
        <v>0</v>
      </c>
      <c r="E84" s="120">
        <v>0</v>
      </c>
      <c r="F84" s="120">
        <f t="shared" si="2"/>
        <v>0</v>
      </c>
      <c r="G84" s="147">
        <f t="shared" si="3"/>
        <v>0</v>
      </c>
      <c r="H84" s="148"/>
      <c r="I84" s="103"/>
      <c r="J84" s="103"/>
    </row>
    <row r="85" spans="1:10" x14ac:dyDescent="0.2">
      <c r="A85" s="49"/>
      <c r="B85" s="134">
        <v>57</v>
      </c>
      <c r="C85" s="131">
        <f t="shared" ca="1" si="0"/>
        <v>47596</v>
      </c>
      <c r="D85" s="127">
        <f t="shared" si="1"/>
        <v>0</v>
      </c>
      <c r="E85" s="120">
        <v>0</v>
      </c>
      <c r="F85" s="120">
        <f t="shared" si="2"/>
        <v>0</v>
      </c>
      <c r="G85" s="147">
        <f t="shared" si="3"/>
        <v>0</v>
      </c>
      <c r="H85" s="148"/>
      <c r="I85" s="103"/>
      <c r="J85" s="103"/>
    </row>
    <row r="86" spans="1:10" x14ac:dyDescent="0.2">
      <c r="A86" s="49"/>
      <c r="B86" s="134">
        <v>58</v>
      </c>
      <c r="C86" s="131">
        <f t="shared" ca="1" si="0"/>
        <v>47626</v>
      </c>
      <c r="D86" s="127">
        <f t="shared" si="1"/>
        <v>0</v>
      </c>
      <c r="E86" s="120">
        <v>0</v>
      </c>
      <c r="F86" s="120">
        <f t="shared" si="2"/>
        <v>0</v>
      </c>
      <c r="G86" s="147">
        <f t="shared" si="3"/>
        <v>0</v>
      </c>
      <c r="H86" s="148"/>
      <c r="I86" s="103"/>
      <c r="J86" s="103"/>
    </row>
    <row r="87" spans="1:10" x14ac:dyDescent="0.2">
      <c r="A87" s="49"/>
      <c r="B87" s="134">
        <v>59</v>
      </c>
      <c r="C87" s="131">
        <f t="shared" ca="1" si="0"/>
        <v>47657</v>
      </c>
      <c r="D87" s="127">
        <f t="shared" si="1"/>
        <v>0</v>
      </c>
      <c r="E87" s="120">
        <v>0</v>
      </c>
      <c r="F87" s="120">
        <f t="shared" si="2"/>
        <v>0</v>
      </c>
      <c r="G87" s="147">
        <f t="shared" si="3"/>
        <v>0</v>
      </c>
      <c r="H87" s="148"/>
      <c r="I87" s="103"/>
      <c r="J87" s="103"/>
    </row>
    <row r="88" spans="1:10" ht="13.5" thickBot="1" x14ac:dyDescent="0.25">
      <c r="A88" s="49"/>
      <c r="B88" s="135">
        <v>60</v>
      </c>
      <c r="C88" s="132">
        <f t="shared" ca="1" si="0"/>
        <v>47687</v>
      </c>
      <c r="D88" s="128">
        <f t="shared" si="1"/>
        <v>0</v>
      </c>
      <c r="E88" s="129">
        <v>0</v>
      </c>
      <c r="F88" s="129">
        <f t="shared" si="2"/>
        <v>0</v>
      </c>
      <c r="G88" s="149">
        <f t="shared" si="3"/>
        <v>0</v>
      </c>
      <c r="H88" s="150"/>
      <c r="I88" s="103"/>
      <c r="J88" s="103"/>
    </row>
    <row r="89" spans="1:10" ht="16.5" thickBot="1" x14ac:dyDescent="0.25">
      <c r="A89" s="49"/>
      <c r="B89" s="142" t="s">
        <v>1</v>
      </c>
      <c r="C89" s="143"/>
      <c r="D89" s="125">
        <f>SUM(D29:D88)</f>
        <v>230000.00000000003</v>
      </c>
      <c r="E89" s="125">
        <f>SUM(E29:E88)</f>
        <v>0</v>
      </c>
      <c r="F89" s="125">
        <f>SUM(F29:F88)</f>
        <v>94707.576684225191</v>
      </c>
      <c r="G89" s="144">
        <f>SUM(G29:H88)</f>
        <v>324707.57668422523</v>
      </c>
      <c r="H89" s="145"/>
      <c r="I89" s="103"/>
      <c r="J89" s="103"/>
    </row>
    <row r="90" spans="1:10" x14ac:dyDescent="0.2">
      <c r="A90" s="49"/>
      <c r="B90" s="2"/>
      <c r="C90" s="2"/>
      <c r="D90" s="2"/>
      <c r="E90" s="2"/>
      <c r="F90" s="2"/>
      <c r="G90" s="35"/>
      <c r="I90" s="103"/>
      <c r="J90" s="103"/>
    </row>
    <row r="91" spans="1:10" x14ac:dyDescent="0.2">
      <c r="A91" s="49"/>
      <c r="B91" s="2"/>
      <c r="C91" s="27"/>
      <c r="D91" s="28"/>
      <c r="E91" s="146" t="s">
        <v>3</v>
      </c>
      <c r="F91" s="146"/>
      <c r="G91" s="146"/>
      <c r="I91" s="103"/>
      <c r="J91" s="103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3"/>
      <c r="J92" s="103"/>
    </row>
    <row r="93" spans="1:10" x14ac:dyDescent="0.2">
      <c r="A93" s="49"/>
      <c r="B93" s="50"/>
      <c r="C93" s="50"/>
      <c r="D93" s="50"/>
      <c r="E93" s="50"/>
      <c r="F93" s="50"/>
      <c r="G93" s="104"/>
      <c r="H93" s="51"/>
      <c r="I93" s="103"/>
      <c r="J93" s="103"/>
    </row>
    <row r="94" spans="1:10" x14ac:dyDescent="0.2">
      <c r="A94" s="49"/>
      <c r="B94" s="50"/>
      <c r="C94" s="50"/>
      <c r="D94" s="50"/>
      <c r="E94" s="50"/>
      <c r="F94" s="50"/>
      <c r="G94" s="104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4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4"/>
      <c r="H96" s="51"/>
      <c r="I96" s="52"/>
    </row>
  </sheetData>
  <sheetProtection algorithmName="SHA-512" hashValue="KKLT/k+yJMi9kSbX7Jq+zs7bH/e02yxRWmxh09Rh377B/n9jirbVm/YMaEIMhPrNLoifKivY4V122mmBV+8gjg==" saltValue="cpXaSuuKIeTAZwxZgGKnxg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600-000000000000}">
      <formula1>$K$11:$K$13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6"/>
  <sheetViews>
    <sheetView zoomScale="85" zoomScaleNormal="85" workbookViewId="0">
      <selection activeCell="H25" sqref="H25"/>
    </sheetView>
  </sheetViews>
  <sheetFormatPr defaultColWidth="9.140625" defaultRowHeight="12.75" x14ac:dyDescent="0.2"/>
  <cols>
    <col min="1" max="1" width="31" style="107" customWidth="1"/>
    <col min="2" max="2" width="11.42578125" style="107" customWidth="1"/>
    <col min="3" max="4" width="9.140625" style="107"/>
    <col min="5" max="5" width="17.28515625" style="107" customWidth="1"/>
    <col min="6" max="6" width="16.85546875" style="107" customWidth="1"/>
    <col min="7" max="7" width="15.7109375" style="107" customWidth="1"/>
    <col min="8" max="10" width="9.140625" style="107" customWidth="1"/>
    <col min="11" max="13" width="17.42578125" style="107" customWidth="1"/>
    <col min="14" max="16384" width="9.140625" style="107"/>
  </cols>
  <sheetData>
    <row r="1" spans="1:14" x14ac:dyDescent="0.2">
      <c r="B1" s="107" t="s">
        <v>17</v>
      </c>
      <c r="C1" s="107" t="s">
        <v>18</v>
      </c>
      <c r="D1" s="107" t="s">
        <v>19</v>
      </c>
      <c r="E1" s="107" t="s">
        <v>20</v>
      </c>
      <c r="F1" s="107" t="s">
        <v>21</v>
      </c>
      <c r="J1" s="107" t="s">
        <v>12</v>
      </c>
      <c r="K1" s="107" t="s">
        <v>0</v>
      </c>
      <c r="L1" s="107" t="s">
        <v>27</v>
      </c>
      <c r="M1" s="107" t="s">
        <v>28</v>
      </c>
    </row>
    <row r="2" spans="1:14" x14ac:dyDescent="0.2">
      <c r="D2" s="108"/>
      <c r="E2" s="108"/>
      <c r="F2" s="108"/>
      <c r="H2" s="107" t="s">
        <v>23</v>
      </c>
      <c r="I2" s="107" t="s">
        <v>22</v>
      </c>
      <c r="K2" s="109"/>
      <c r="L2" s="109"/>
      <c r="M2" s="109"/>
    </row>
    <row r="3" spans="1:14" x14ac:dyDescent="0.2">
      <c r="A3" s="107">
        <v>1</v>
      </c>
      <c r="B3" s="107">
        <v>2</v>
      </c>
      <c r="C3" s="107">
        <v>3</v>
      </c>
      <c r="D3" s="107">
        <v>4</v>
      </c>
      <c r="E3" s="107">
        <v>5</v>
      </c>
      <c r="F3" s="107">
        <v>6</v>
      </c>
      <c r="G3" s="107">
        <v>7</v>
      </c>
      <c r="H3" s="107">
        <v>8</v>
      </c>
      <c r="I3" s="107">
        <v>9</v>
      </c>
      <c r="J3" s="107">
        <v>10</v>
      </c>
      <c r="K3" s="107">
        <v>11</v>
      </c>
      <c r="L3" s="107">
        <v>12</v>
      </c>
      <c r="M3" s="107">
        <v>13</v>
      </c>
      <c r="N3" s="107">
        <v>14</v>
      </c>
    </row>
    <row r="4" spans="1:14" x14ac:dyDescent="0.2">
      <c r="A4" s="137" t="s">
        <v>47</v>
      </c>
      <c r="B4" s="137">
        <v>434782.61</v>
      </c>
      <c r="C4" s="137">
        <v>36</v>
      </c>
      <c r="D4" s="138">
        <v>0.76</v>
      </c>
      <c r="E4" s="138">
        <v>0.15</v>
      </c>
      <c r="F4" s="138">
        <v>0</v>
      </c>
      <c r="G4" s="137" t="str">
        <f t="shared" ref="G4:G6" si="0">I$2&amp;" "&amp;B4&amp;" "&amp;H$2</f>
        <v>max. 434782,61 грн.</v>
      </c>
      <c r="H4" s="137">
        <f t="shared" ref="H4:H6" si="1">B4+B4*E4</f>
        <v>500000.00150000001</v>
      </c>
      <c r="I4" s="137"/>
      <c r="J4" s="137">
        <v>4</v>
      </c>
      <c r="K4" s="139">
        <f t="shared" ref="K4:K6" si="2">D4/12/(1-1/POWER(1+D4/12,C4))*H4+H4*F4</f>
        <v>35565.447959820507</v>
      </c>
      <c r="L4" s="140">
        <v>0</v>
      </c>
      <c r="M4" s="141">
        <v>0</v>
      </c>
      <c r="N4" s="137">
        <v>5000</v>
      </c>
    </row>
    <row r="5" spans="1:14" x14ac:dyDescent="0.2">
      <c r="A5" s="137" t="s">
        <v>48</v>
      </c>
      <c r="B5" s="137">
        <v>434782.61</v>
      </c>
      <c r="C5" s="137">
        <v>24</v>
      </c>
      <c r="D5" s="138">
        <v>0.73</v>
      </c>
      <c r="E5" s="138">
        <v>0.15</v>
      </c>
      <c r="F5" s="138">
        <v>0</v>
      </c>
      <c r="G5" s="137" t="str">
        <f t="shared" si="0"/>
        <v>max. 434782,61 грн.</v>
      </c>
      <c r="H5" s="137">
        <f t="shared" si="1"/>
        <v>500000.00150000001</v>
      </c>
      <c r="I5" s="137"/>
      <c r="J5" s="137">
        <v>4</v>
      </c>
      <c r="K5" s="139">
        <f t="shared" si="2"/>
        <v>40146.810778866631</v>
      </c>
      <c r="L5" s="140">
        <v>0</v>
      </c>
      <c r="M5" s="141">
        <v>0</v>
      </c>
      <c r="N5" s="137">
        <v>5000</v>
      </c>
    </row>
    <row r="6" spans="1:14" x14ac:dyDescent="0.2">
      <c r="A6" s="137" t="s">
        <v>49</v>
      </c>
      <c r="B6" s="137">
        <v>434782.61</v>
      </c>
      <c r="C6" s="137">
        <v>12</v>
      </c>
      <c r="D6" s="138">
        <v>0.69</v>
      </c>
      <c r="E6" s="138">
        <v>0.15</v>
      </c>
      <c r="F6" s="138">
        <v>0</v>
      </c>
      <c r="G6" s="137" t="str">
        <f t="shared" si="0"/>
        <v>max. 434782,61 грн.</v>
      </c>
      <c r="H6" s="137">
        <f t="shared" si="1"/>
        <v>500000.00150000001</v>
      </c>
      <c r="I6" s="137"/>
      <c r="J6" s="137">
        <v>6</v>
      </c>
      <c r="K6" s="139">
        <f t="shared" si="2"/>
        <v>58823.836532309317</v>
      </c>
      <c r="L6" s="140">
        <v>0</v>
      </c>
      <c r="M6" s="141">
        <v>0</v>
      </c>
      <c r="N6" s="137">
        <v>5000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4" t="s">
        <v>13</v>
      </c>
      <c r="B1" s="185"/>
      <c r="C1" s="185"/>
      <c r="D1" s="186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9" t="s">
        <v>44</v>
      </c>
      <c r="B3" s="180"/>
      <c r="C3" s="180"/>
      <c r="D3" s="181"/>
      <c r="E3" s="7"/>
      <c r="F3" s="8"/>
      <c r="G3" s="7"/>
    </row>
    <row r="4" spans="1:8" x14ac:dyDescent="0.2">
      <c r="A4" s="47"/>
      <c r="B4" s="47"/>
      <c r="C4" s="47"/>
      <c r="D4" s="47"/>
      <c r="E4" s="66"/>
      <c r="F4" s="118"/>
      <c r="G4" s="66"/>
    </row>
    <row r="5" spans="1:8" x14ac:dyDescent="0.2">
      <c r="A5" s="179" t="s">
        <v>45</v>
      </c>
      <c r="B5" s="180"/>
      <c r="C5" s="180"/>
      <c r="D5" s="181"/>
      <c r="E5" s="7"/>
      <c r="F5" s="8"/>
      <c r="G5" s="7"/>
    </row>
    <row r="6" spans="1:8" x14ac:dyDescent="0.2">
      <c r="A6" s="62"/>
      <c r="B6" s="4"/>
      <c r="C6" s="62"/>
      <c r="D6" s="4"/>
      <c r="E6" s="66"/>
      <c r="F6" s="64"/>
      <c r="G6" s="41"/>
      <c r="H6" s="4"/>
    </row>
    <row r="7" spans="1:8" x14ac:dyDescent="0.2">
      <c r="A7" s="179" t="s">
        <v>29</v>
      </c>
      <c r="B7" s="180"/>
      <c r="C7" s="180"/>
      <c r="D7" s="181"/>
      <c r="E7" s="7"/>
      <c r="F7" s="8"/>
      <c r="G7" s="8"/>
    </row>
    <row r="8" spans="1:8" x14ac:dyDescent="0.2">
      <c r="A8" s="62"/>
      <c r="B8" s="4"/>
      <c r="C8" s="62"/>
      <c r="D8" s="4"/>
      <c r="E8" s="67"/>
      <c r="F8" s="64"/>
      <c r="G8" s="41"/>
      <c r="H8" s="4"/>
    </row>
    <row r="9" spans="1:8" x14ac:dyDescent="0.2">
      <c r="A9" s="179" t="s">
        <v>30</v>
      </c>
      <c r="B9" s="180"/>
      <c r="C9" s="180"/>
      <c r="D9" s="181"/>
      <c r="E9" s="7"/>
      <c r="F9" s="8"/>
      <c r="G9" s="8"/>
    </row>
    <row r="10" spans="1:8" x14ac:dyDescent="0.2">
      <c r="A10" s="62"/>
      <c r="B10" s="4"/>
      <c r="C10" s="62"/>
      <c r="D10" s="4"/>
      <c r="E10" s="66"/>
      <c r="F10" s="64"/>
      <c r="G10" s="41"/>
      <c r="H10" s="4"/>
    </row>
    <row r="11" spans="1:8" x14ac:dyDescent="0.2">
      <c r="A11" s="179" t="s">
        <v>43</v>
      </c>
      <c r="B11" s="180"/>
      <c r="C11" s="180"/>
      <c r="D11" s="181"/>
      <c r="E11" s="68"/>
      <c r="F11" s="8"/>
      <c r="G11" s="8"/>
    </row>
    <row r="12" spans="1:8" x14ac:dyDescent="0.2">
      <c r="A12" s="69"/>
      <c r="B12" s="12"/>
      <c r="C12" s="69"/>
      <c r="D12" s="70"/>
      <c r="E12" s="46"/>
      <c r="F12" s="64"/>
      <c r="G12" s="71"/>
      <c r="H12" s="12"/>
    </row>
    <row r="13" spans="1:8" x14ac:dyDescent="0.2">
      <c r="A13" s="69"/>
      <c r="B13" s="12"/>
      <c r="C13" s="69"/>
      <c r="D13" s="72"/>
      <c r="E13" s="46"/>
      <c r="F13" s="64"/>
      <c r="G13" s="71"/>
      <c r="H13" s="12"/>
    </row>
    <row r="14" spans="1:8" x14ac:dyDescent="0.2">
      <c r="A14" s="179" t="s">
        <v>42</v>
      </c>
      <c r="B14" s="180"/>
      <c r="C14" s="180"/>
      <c r="D14" s="181"/>
      <c r="E14" s="13"/>
      <c r="F14" s="13"/>
      <c r="G14" s="14"/>
      <c r="H14" s="12"/>
    </row>
    <row r="15" spans="1:8" x14ac:dyDescent="0.2">
      <c r="A15" s="47"/>
      <c r="B15" s="47"/>
      <c r="C15" s="47"/>
      <c r="D15" s="47"/>
      <c r="E15" s="73"/>
      <c r="F15" s="74"/>
      <c r="G15" s="75"/>
      <c r="H15" s="12"/>
    </row>
    <row r="16" spans="1:8" x14ac:dyDescent="0.2">
      <c r="A16" s="179" t="s">
        <v>36</v>
      </c>
      <c r="B16" s="180"/>
      <c r="C16" s="180"/>
      <c r="D16" s="181"/>
      <c r="E16" s="58"/>
      <c r="F16" s="59"/>
      <c r="G16" s="14"/>
      <c r="H16" s="12"/>
    </row>
    <row r="17" spans="1:8" x14ac:dyDescent="0.2">
      <c r="A17" s="65"/>
      <c r="B17" s="65"/>
      <c r="C17" s="65"/>
      <c r="D17" s="65"/>
      <c r="E17" s="76"/>
      <c r="F17" s="74"/>
      <c r="G17" s="75"/>
      <c r="H17" s="12"/>
    </row>
    <row r="18" spans="1:8" x14ac:dyDescent="0.2">
      <c r="A18" s="179" t="s">
        <v>41</v>
      </c>
      <c r="B18" s="180"/>
      <c r="C18" s="180"/>
      <c r="D18" s="181"/>
      <c r="E18" s="21"/>
      <c r="F18" s="8"/>
      <c r="G18" s="8"/>
      <c r="H18" s="12"/>
    </row>
    <row r="19" spans="1:8" x14ac:dyDescent="0.2">
      <c r="A19" s="47"/>
      <c r="B19" s="47"/>
      <c r="C19" s="47"/>
      <c r="D19" s="47"/>
      <c r="E19" s="117"/>
      <c r="F19" s="118"/>
      <c r="G19" s="118"/>
      <c r="H19" s="12"/>
    </row>
    <row r="20" spans="1:8" x14ac:dyDescent="0.2">
      <c r="A20" s="47" t="s">
        <v>46</v>
      </c>
      <c r="B20" s="47"/>
      <c r="C20" s="47"/>
      <c r="D20" s="47"/>
      <c r="E20" s="117"/>
      <c r="F20" s="118"/>
      <c r="G20" s="118"/>
      <c r="H20" s="12"/>
    </row>
    <row r="21" spans="1:8" x14ac:dyDescent="0.2">
      <c r="A21" s="47"/>
      <c r="B21" s="47"/>
      <c r="C21" s="47"/>
      <c r="D21" s="47"/>
      <c r="E21" s="66"/>
      <c r="F21" s="74"/>
      <c r="G21" s="75"/>
      <c r="H21" s="12"/>
    </row>
    <row r="22" spans="1:8" ht="33.75" x14ac:dyDescent="0.2">
      <c r="A22" s="182" t="s">
        <v>5</v>
      </c>
      <c r="B22" s="183"/>
      <c r="C22" s="77" t="s">
        <v>0</v>
      </c>
      <c r="D22" s="78" t="s">
        <v>25</v>
      </c>
      <c r="E22" s="79" t="s">
        <v>10</v>
      </c>
      <c r="F22" s="79" t="s">
        <v>9</v>
      </c>
      <c r="G22" s="79" t="s">
        <v>11</v>
      </c>
      <c r="H22" s="79" t="s">
        <v>24</v>
      </c>
    </row>
    <row r="23" spans="1:8" x14ac:dyDescent="0.2">
      <c r="A23" s="187" t="s">
        <v>16</v>
      </c>
      <c r="B23" s="188"/>
      <c r="C23" s="38">
        <f>IF(ISERROR(L18),"",L18)</f>
        <v>0</v>
      </c>
      <c r="D23" s="38">
        <f>IF(ISERROR(L14),"",L14)</f>
        <v>0</v>
      </c>
      <c r="E23" s="55">
        <f>IF(ISERROR(L16),"",L16)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7" t="s">
        <v>6</v>
      </c>
      <c r="B24" s="188"/>
      <c r="C24" s="39">
        <f>IF(ISERROR(M18),"",M18)</f>
        <v>0</v>
      </c>
      <c r="D24" s="39">
        <f>IF(ISERROR(M14),"",M14)</f>
        <v>0</v>
      </c>
      <c r="E24" s="56">
        <f>IF(ISERROR(M16),"",M16)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187" t="s">
        <v>14</v>
      </c>
      <c r="B25" s="188"/>
      <c r="C25" s="39">
        <f>IF(ISERROR(N18),"",N18)</f>
        <v>0</v>
      </c>
      <c r="D25" s="39">
        <f>IF(ISERROR(N14),"",N14)</f>
        <v>0</v>
      </c>
      <c r="E25" s="56">
        <f>IF(ISERROR(N16),"",N16)</f>
        <v>0</v>
      </c>
      <c r="F25" s="22" t="str">
        <f>IF(ISERROR(D25/#REF!),"",D25/#REF!)</f>
        <v/>
      </c>
      <c r="G25" s="23" t="str">
        <f>IF(ISERROR(D25/#REF!/F$3),"",D25/#REF!/F$3)</f>
        <v/>
      </c>
      <c r="H25" s="23" t="str">
        <f>IF(ISERROR(C25/F$3),"",C25/F$3)</f>
        <v/>
      </c>
    </row>
    <row r="26" spans="1:8" x14ac:dyDescent="0.2">
      <c r="A26" s="187" t="s">
        <v>15</v>
      </c>
      <c r="B26" s="188"/>
      <c r="C26" s="39">
        <f>IF(ISERROR(O18),"",O18)</f>
        <v>0</v>
      </c>
      <c r="D26" s="39">
        <f>IF(ISERROR(O14),"",O14)</f>
        <v>0</v>
      </c>
      <c r="E26" s="56">
        <f>IF(ISERROR(O16),"",O16)</f>
        <v>0</v>
      </c>
      <c r="F26" s="22" t="str">
        <f>IF(ISERROR(D26/#REF!),"",D26/#REF!)</f>
        <v/>
      </c>
      <c r="G26" s="23" t="str">
        <f>IF(ISERROR(D26/#REF!/F$3),"",D26/#REF!/F$3)</f>
        <v/>
      </c>
      <c r="H26" s="23" t="str">
        <f>IF(ISERROR(C26/F$3),"",C26/F$3)</f>
        <v/>
      </c>
    </row>
    <row r="27" spans="1:8" x14ac:dyDescent="0.2">
      <c r="A27" s="62"/>
      <c r="B27" s="47"/>
      <c r="C27" s="62"/>
      <c r="D27" s="80"/>
      <c r="E27" s="4"/>
      <c r="F27" s="41"/>
      <c r="G27" s="64"/>
      <c r="H27" s="4"/>
    </row>
    <row r="28" spans="1:8" ht="13.5" thickBot="1" x14ac:dyDescent="0.25">
      <c r="A28" s="81"/>
      <c r="B28" s="47"/>
      <c r="C28" s="81"/>
      <c r="D28" s="82"/>
      <c r="E28" s="83"/>
      <c r="F28" s="75"/>
      <c r="G28" s="74"/>
      <c r="H28" s="12"/>
    </row>
    <row r="29" spans="1:8" ht="18.75" thickBot="1" x14ac:dyDescent="0.25">
      <c r="A29" s="194" t="s">
        <v>35</v>
      </c>
      <c r="B29" s="195"/>
      <c r="C29" s="195"/>
      <c r="D29" s="195"/>
      <c r="E29" s="195"/>
      <c r="F29" s="195"/>
      <c r="G29" s="136"/>
    </row>
    <row r="30" spans="1:8" ht="45.75" thickBot="1" x14ac:dyDescent="0.25">
      <c r="A30" s="190" t="s">
        <v>2</v>
      </c>
      <c r="B30" s="191"/>
      <c r="C30" s="84" t="s">
        <v>33</v>
      </c>
      <c r="D30" s="84" t="s">
        <v>31</v>
      </c>
      <c r="E30" s="84" t="s">
        <v>32</v>
      </c>
      <c r="F30" s="192" t="s">
        <v>34</v>
      </c>
      <c r="G30" s="193"/>
    </row>
    <row r="31" spans="1:8" x14ac:dyDescent="0.2">
      <c r="A31" s="4"/>
      <c r="B31" s="4"/>
      <c r="C31" s="4"/>
      <c r="D31" s="4"/>
      <c r="E31" s="4"/>
      <c r="F31" s="41"/>
      <c r="G31" s="64"/>
    </row>
    <row r="32" spans="1:8" x14ac:dyDescent="0.2">
      <c r="A32" s="4" t="s">
        <v>3</v>
      </c>
      <c r="B32" s="85"/>
      <c r="C32" s="86"/>
      <c r="D32" s="189"/>
      <c r="E32" s="189"/>
      <c r="F32" s="189"/>
      <c r="G32" s="64"/>
    </row>
    <row r="33" spans="1:7" x14ac:dyDescent="0.2">
      <c r="A33" s="4" t="s">
        <v>4</v>
      </c>
      <c r="B33" s="87"/>
      <c r="C33" s="4"/>
      <c r="D33" s="33"/>
      <c r="E33" s="34"/>
      <c r="F33" s="88"/>
      <c r="G33" s="64"/>
    </row>
    <row r="35" spans="1:7" x14ac:dyDescent="0.2">
      <c r="A35" t="s">
        <v>26</v>
      </c>
      <c r="B35">
        <v>30.4</v>
      </c>
    </row>
  </sheetData>
  <sheetProtection selectLockedCells="1"/>
  <mergeCells count="18">
    <mergeCell ref="A23:B23"/>
    <mergeCell ref="A24:B24"/>
    <mergeCell ref="D32:F32"/>
    <mergeCell ref="A26:B26"/>
    <mergeCell ref="A30:B30"/>
    <mergeCell ref="F30:G30"/>
    <mergeCell ref="A25:B25"/>
    <mergeCell ref="A29:F29"/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Мобільний_для лідогенераторівCK</vt:lpstr>
      <vt:lpstr>Лист2</vt:lpstr>
      <vt:lpstr>Назви</vt:lpstr>
      <vt:lpstr>'Мобільний_для лідогенераторівCK'!Область_друку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2025-07-23T13:31:56Z</dcterms:modified>
</cp:coreProperties>
</file>