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+\"/>
    </mc:Choice>
  </mc:AlternateContent>
  <xr:revisionPtr revIDLastSave="0" documentId="13_ncr:1_{D6BDCC2D-2E90-4C83-AF4A-44D98599528F}" xr6:coauthVersionLast="47" xr6:coauthVersionMax="47" xr10:uidLastSave="{00000000-0000-0000-0000-000000000000}"/>
  <workbookProtection workbookAlgorithmName="SHA-512" workbookHashValue="VsIhdj4hU3nA+QqHp6jZfYLLqo3nYLplfT6G7JiqJQxcnxxVRzq9uxlMjITBom0eneivGb9mgmSMuexNyx6k/Q==" workbookSaltValue="icmqnA7NESMmXHR8jAjGeQ==" workbookSpinCount="100000" lockStructure="1"/>
  <bookViews>
    <workbookView xWindow="-120" yWindow="-120" windowWidth="29040" windowHeight="15990" tabRatio="831" xr2:uid="{00000000-000D-0000-FFFF-FFFF00000000}"/>
  </bookViews>
  <sheets>
    <sheet name="Мобільний_для лідогенераторів" sheetId="189" r:id="rId1"/>
    <sheet name="Лист2" sheetId="165" state="hidden" r:id="rId2"/>
    <sheet name="Назви" sheetId="161" state="hidden" r:id="rId3"/>
  </sheets>
  <definedNames>
    <definedName name="_xlnm._FilterDatabase" localSheetId="0" hidden="1">'Мобільний_для лідогенераторів'!$A$27:$H$89</definedName>
    <definedName name="_xlnm.Print_Area" localSheetId="0">'Мобільний_для лідогенераторів'!$A$1:$L$92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K16" i="189"/>
  <c r="K14" i="189" l="1"/>
  <c r="H4" i="165"/>
  <c r="K4" i="165" s="1"/>
  <c r="G4" i="165"/>
  <c r="G6" i="165" l="1"/>
  <c r="H6" i="165"/>
  <c r="K6" i="165" s="1"/>
  <c r="K15" i="189" l="1"/>
  <c r="G27" i="189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F11" i="189"/>
  <c r="E16" i="189" s="1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9" l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E3" i="189"/>
  <c r="F3" i="189" s="1"/>
  <c r="F72" i="189" l="1"/>
  <c r="D83" i="189"/>
  <c r="D67" i="189"/>
  <c r="F75" i="189"/>
  <c r="D86" i="189"/>
  <c r="D70" i="189"/>
  <c r="F78" i="189"/>
  <c r="D88" i="189"/>
  <c r="D73" i="189"/>
  <c r="F81" i="189"/>
  <c r="F65" i="189"/>
  <c r="D84" i="189"/>
  <c r="F84" i="189"/>
  <c r="F68" i="189"/>
  <c r="D79" i="189"/>
  <c r="F87" i="189"/>
  <c r="F71" i="189"/>
  <c r="D82" i="189"/>
  <c r="D66" i="189"/>
  <c r="F74" i="189"/>
  <c r="D85" i="189"/>
  <c r="D69" i="189"/>
  <c r="F77" i="189"/>
  <c r="F88" i="189"/>
  <c r="D72" i="189"/>
  <c r="F80" i="189"/>
  <c r="D80" i="189"/>
  <c r="D75" i="189"/>
  <c r="F83" i="189"/>
  <c r="F67" i="189"/>
  <c r="D78" i="189"/>
  <c r="F86" i="189"/>
  <c r="F70" i="189"/>
  <c r="D81" i="189"/>
  <c r="D65" i="189"/>
  <c r="F73" i="189"/>
  <c r="D68" i="189"/>
  <c r="F76" i="189"/>
  <c r="D87" i="189"/>
  <c r="D71" i="189"/>
  <c r="F79" i="189"/>
  <c r="D76" i="189"/>
  <c r="D74" i="189"/>
  <c r="F82" i="189"/>
  <c r="F66" i="189"/>
  <c r="D77" i="189"/>
  <c r="F85" i="189"/>
  <c r="F69" i="189"/>
  <c r="D29" i="189"/>
  <c r="D49" i="189"/>
  <c r="D33" i="189"/>
  <c r="F53" i="189"/>
  <c r="F37" i="189"/>
  <c r="D56" i="189"/>
  <c r="D40" i="189"/>
  <c r="F60" i="189"/>
  <c r="F44" i="189"/>
  <c r="D63" i="189"/>
  <c r="D47" i="189"/>
  <c r="D31" i="189"/>
  <c r="F51" i="189"/>
  <c r="F35" i="189"/>
  <c r="D54" i="189"/>
  <c r="D38" i="189"/>
  <c r="F58" i="189"/>
  <c r="F42" i="189"/>
  <c r="D61" i="189"/>
  <c r="D45" i="189"/>
  <c r="F29" i="189"/>
  <c r="F49" i="189"/>
  <c r="F33" i="189"/>
  <c r="D52" i="189"/>
  <c r="D36" i="189"/>
  <c r="F56" i="189"/>
  <c r="F40" i="189"/>
  <c r="D59" i="189"/>
  <c r="D43" i="189"/>
  <c r="F63" i="189"/>
  <c r="F47" i="189"/>
  <c r="F31" i="189"/>
  <c r="D50" i="189"/>
  <c r="D34" i="189"/>
  <c r="F54" i="189"/>
  <c r="F38" i="189"/>
  <c r="D57" i="189"/>
  <c r="D41" i="189"/>
  <c r="F61" i="189"/>
  <c r="F45" i="189"/>
  <c r="D64" i="189"/>
  <c r="D48" i="189"/>
  <c r="D32" i="189"/>
  <c r="F52" i="189"/>
  <c r="F36" i="189"/>
  <c r="D55" i="189"/>
  <c r="D39" i="189"/>
  <c r="F59" i="189"/>
  <c r="F43" i="189"/>
  <c r="D62" i="189"/>
  <c r="D46" i="189"/>
  <c r="D30" i="189"/>
  <c r="F50" i="189"/>
  <c r="F34" i="189"/>
  <c r="D53" i="189"/>
  <c r="D37" i="189"/>
  <c r="F57" i="189"/>
  <c r="F41" i="189"/>
  <c r="D60" i="189"/>
  <c r="D44" i="189"/>
  <c r="F64" i="189"/>
  <c r="F48" i="189"/>
  <c r="F32" i="189"/>
  <c r="D51" i="189"/>
  <c r="D35" i="189"/>
  <c r="F55" i="189"/>
  <c r="F39" i="189"/>
  <c r="D58" i="189"/>
  <c r="D42" i="189"/>
  <c r="F62" i="189"/>
  <c r="F46" i="189"/>
  <c r="F30" i="189"/>
  <c r="E17" i="189"/>
  <c r="E76" i="189" s="1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F1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F7" i="189" s="1"/>
  <c r="G89" i="189" l="1"/>
  <c r="F20" i="189" s="1"/>
  <c r="F22" i="189" s="1"/>
  <c r="G5" i="165" l="1"/>
  <c r="H5" i="165"/>
  <c r="K5" i="165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F23" i="161" s="1"/>
  <c r="E23" i="161"/>
  <c r="C24" i="161"/>
  <c r="H24" i="161" s="1"/>
  <c r="D24" i="161"/>
  <c r="G24" i="161" s="1"/>
  <c r="E24" i="161"/>
  <c r="F24" i="161"/>
  <c r="G23" i="161" l="1"/>
  <c r="G22" i="161"/>
  <c r="G21" i="161"/>
</calcChain>
</file>

<file path=xl/sharedStrings.xml><?xml version="1.0" encoding="utf-8"?>
<sst xmlns="http://schemas.openxmlformats.org/spreadsheetml/2006/main" count="54" uniqueCount="49">
  <si>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</si>
  <si>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</si>
  <si>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</si>
  <si>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</si>
  <si>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</si>
  <si>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</si>
  <si>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</si>
  <si>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</si>
  <si>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</si>
  <si>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</si>
  <si>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</si>
  <si>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</si>
  <si>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</si>
  <si>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</si>
  <si>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</si>
  <si>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</si>
  <si>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</si>
  <si>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</si>
  <si>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</si>
  <si>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</si>
  <si>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</si>
  <si>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</si>
  <si>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</si>
  <si>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</si>
  <si>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</si>
  <si>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</si>
  <si>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</si>
  <si>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</si>
  <si>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</si>
  <si>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Разовий страховий тариф, %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</si>
  <si>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</si>
  <si>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</si>
  <si>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</si>
  <si>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</si>
  <si>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</si>
  <si>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</si>
  <si>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</si>
  <si>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</si>
  <si>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</si>
  <si>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</si>
  <si>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</si>
  <si>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</si>
  <si>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</si>
  <si>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</si>
  <si>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</si>
  <si>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</si>
  <si>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Мобільний_для лідогенераторів_24 міс.</t>
  </si>
  <si>
    <t>Мобільний_для лідогенераторів_12 міс.</t>
  </si>
  <si>
    <t>Мобільний_для лідогенераторів_36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</si>
</sst>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10" fontId="16" fillId="0" borderId="0" xfId="23" applyNumberFormat="1" applyFont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4" fontId="16" fillId="0" borderId="1" xfId="23" applyNumberFormat="1" applyFont="1" applyBorder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4" xfId="23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285750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38100"/>
          <a:ext cx="1933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21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44" t="s">
        <v>40</v>
      </c>
      <c r="I1" s="144"/>
    </row>
    <row r="2" spans="1:29" ht="12.75" customHeight="1" x14ac:dyDescent="0.2">
      <c r="A2" s="2"/>
      <c r="B2" s="50"/>
      <c r="C2" s="50"/>
      <c r="D2" s="50"/>
      <c r="E2" s="108">
        <f>VLOOKUP('Мобільний_для лідогенераторів'!H2,Лист2!A:N,14,FALSE)</f>
        <v>5000</v>
      </c>
      <c r="F2" s="100">
        <f>VLOOKUP(H$2,Лист2!$A:$G,2,0)</f>
        <v>500000</v>
      </c>
      <c r="G2" s="116">
        <f ca="1">TODAY()</f>
        <v>45861</v>
      </c>
      <c r="H2" s="145" t="s">
        <v>47</v>
      </c>
      <c r="I2" s="146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100000</v>
      </c>
      <c r="F3" s="147" t="str">
        <f>IF(E3="x","Збільшіть суму",IF(E3="y","Зменшіть суму",""))</f>
        <v/>
      </c>
      <c r="G3" s="57">
        <f>Назви!B33</f>
        <v>30.4</v>
      </c>
      <c r="H3" s="148" t="str">
        <f>VLOOKUP(H$2,Лист2!$A:$G,7,0)</f>
        <v>max. 500000 грн.</v>
      </c>
      <c r="I3" s="149"/>
      <c r="J3" s="42"/>
    </row>
    <row r="4" spans="1:29" ht="9" customHeight="1" thickBot="1" x14ac:dyDescent="0.25">
      <c r="A4" s="2"/>
      <c r="B4" s="2"/>
      <c r="C4" s="2"/>
      <c r="D4" s="2"/>
      <c r="E4" s="108"/>
      <c r="F4" s="147"/>
      <c r="G4" s="35"/>
      <c r="H4" s="124"/>
      <c r="I4" s="42"/>
      <c r="J4" s="42"/>
      <c r="K4" s="54"/>
    </row>
    <row r="5" spans="1:29" ht="21" customHeight="1" thickBot="1" x14ac:dyDescent="0.25">
      <c r="A5" s="1"/>
      <c r="B5" s="150" t="s">
        <v>45</v>
      </c>
      <c r="C5" s="151"/>
      <c r="D5" s="151"/>
      <c r="E5" s="152"/>
      <c r="F5" s="134">
        <v>100000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hidden="1" customHeight="1" x14ac:dyDescent="0.2">
      <c r="A7" s="1"/>
      <c r="B7" s="141" t="s">
        <v>41</v>
      </c>
      <c r="C7" s="142"/>
      <c r="D7" s="142"/>
      <c r="E7" s="143"/>
      <c r="F7" s="13">
        <f>D89</f>
        <v>99999.999999999971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41" t="str">
        <f>Назви!A3</f>
        <v>Процентна ставка, % річних</v>
      </c>
      <c r="C9" s="142">
        <f>Назви!B3</f>
        <v>0</v>
      </c>
      <c r="D9" s="142">
        <f>Назви!C3</f>
        <v>0</v>
      </c>
      <c r="E9" s="143">
        <f>Назви!D3</f>
        <v>0</v>
      </c>
      <c r="F9" s="32">
        <f>VLOOKUP(H$2,Лист2!$A:$G,4,0)</f>
        <v>0.99</v>
      </c>
      <c r="G9" s="153"/>
      <c r="H9" s="153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41" t="str">
        <f>Назви!A5</f>
        <v>Разовий страховий тариф, %</v>
      </c>
      <c r="C11" s="142">
        <f>Назви!B5</f>
        <v>0</v>
      </c>
      <c r="D11" s="142">
        <f>Назви!C5</f>
        <v>0</v>
      </c>
      <c r="E11" s="143">
        <f>Назви!D5</f>
        <v>0</v>
      </c>
      <c r="F11" s="32">
        <f>VLOOKUP(H$2,Лист2!$A:$G,5,0)</f>
        <v>0</v>
      </c>
      <c r="G11" s="153"/>
      <c r="H11" s="153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41" t="str">
        <f>Назви!A7</f>
        <v xml:space="preserve">Щомісячна плата за обслуговування кредитної заборгованості, % </v>
      </c>
      <c r="C13" s="142">
        <f>Назви!B7</f>
        <v>0</v>
      </c>
      <c r="D13" s="142">
        <f>Назви!C7</f>
        <v>0</v>
      </c>
      <c r="E13" s="143">
        <f>Назви!D7</f>
        <v>0</v>
      </c>
      <c r="F13" s="32">
        <f>VLOOKUP(H$2,Лист2!$A:$G,6,0)</f>
        <v>0</v>
      </c>
      <c r="G13" s="153"/>
      <c r="H13" s="153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 t="str">
        <f>Лист2!A4</f>
        <v>Мобільний_для лідогенераторів_36 міс.</v>
      </c>
    </row>
    <row r="15" spans="1:29" x14ac:dyDescent="0.2">
      <c r="A15" s="1"/>
      <c r="B15" s="141" t="str">
        <f>Назви!A9</f>
        <v>Термін кредитування (міс.)</v>
      </c>
      <c r="C15" s="142">
        <f>Назви!B9</f>
        <v>0</v>
      </c>
      <c r="D15" s="142">
        <f>Назви!C9</f>
        <v>0</v>
      </c>
      <c r="E15" s="143">
        <f>Назви!D9</f>
        <v>0</v>
      </c>
      <c r="F15" s="53">
        <f>VLOOKUP(H$2,Лист2!$A:$G,3,0)</f>
        <v>12</v>
      </c>
      <c r="G15" s="153"/>
      <c r="H15" s="153"/>
      <c r="I15" s="3"/>
      <c r="J15" s="43"/>
      <c r="K15" s="113" t="str">
        <f>Лист2!A5</f>
        <v>Мобільний_для лідогенераторів_24 міс.</v>
      </c>
    </row>
    <row r="16" spans="1:29" s="12" customFormat="1" ht="7.9" customHeight="1" x14ac:dyDescent="0.2">
      <c r="A16" s="1"/>
      <c r="B16" s="10"/>
      <c r="C16" s="48"/>
      <c r="D16" s="94"/>
      <c r="E16" s="114">
        <f>F5*F11</f>
        <v>0</v>
      </c>
      <c r="F16" s="50"/>
      <c r="G16" s="96"/>
      <c r="H16" s="11"/>
      <c r="I16" s="1"/>
      <c r="J16" s="44"/>
      <c r="K16" s="113" t="str">
        <f>Лист2!A6</f>
        <v>Мобільний_для лідогенераторів_12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100000</v>
      </c>
      <c r="F17" s="50"/>
      <c r="G17" s="96"/>
      <c r="H17" s="11"/>
      <c r="I17" s="1"/>
      <c r="J17" s="99"/>
      <c r="K17" s="113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4" t="str">
        <f>Назви!A12</f>
        <v>Орієнтовний платіж, грн.</v>
      </c>
      <c r="C18" s="155">
        <f>Назви!B12</f>
        <v>0</v>
      </c>
      <c r="D18" s="155">
        <f>Назви!C12</f>
        <v>0</v>
      </c>
      <c r="E18" s="156">
        <f>Назви!D12</f>
        <v>0</v>
      </c>
      <c r="F18" s="13">
        <f>PMT(F9/12,F15,-E17)+F13*E17</f>
        <v>13441.889887808902</v>
      </c>
      <c r="G18" s="157"/>
      <c r="H18" s="158"/>
      <c r="I18" s="105"/>
      <c r="J18" s="44"/>
      <c r="K18" s="113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4" t="str">
        <f>Назви!A14</f>
        <v>Орієнтовні загальні витрати за кредитом, грн.</v>
      </c>
      <c r="C20" s="155">
        <f>Назви!B14</f>
        <v>0</v>
      </c>
      <c r="D20" s="155">
        <f>Назви!C14</f>
        <v>0</v>
      </c>
      <c r="E20" s="156">
        <f>Назви!D14</f>
        <v>0</v>
      </c>
      <c r="F20" s="13">
        <f>G89-E3</f>
        <v>61302.678653706855</v>
      </c>
      <c r="G20" s="159"/>
      <c r="H20" s="159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4" t="str">
        <f>Назви!A16</f>
        <v>Орієнтовна загальна вартість кредиту, грн.</v>
      </c>
      <c r="C22" s="155">
        <f>Назви!B16</f>
        <v>0</v>
      </c>
      <c r="D22" s="155">
        <f>Назви!C16</f>
        <v>0</v>
      </c>
      <c r="E22" s="156">
        <f>Назви!D16</f>
        <v>0</v>
      </c>
      <c r="F22" s="13">
        <f>E3+F20</f>
        <v>161302.67865370685</v>
      </c>
      <c r="G22" s="153"/>
      <c r="H22" s="153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4" t="str">
        <f>Назви!A18</f>
        <v>Орієнтовна реальна річна процентна ставка, %</v>
      </c>
      <c r="C24" s="155"/>
      <c r="D24" s="155"/>
      <c r="E24" s="156"/>
      <c r="F24" s="32">
        <f ca="1">XIRR(G28:G88,C28:C88)</f>
        <v>1.5776091456413275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61" t="str">
        <f>Назви!A27</f>
        <v>Орієнтовний порядок повернення кредиту</v>
      </c>
      <c r="C26" s="162"/>
      <c r="D26" s="162"/>
      <c r="E26" s="162"/>
      <c r="F26" s="162"/>
      <c r="G26" s="162"/>
      <c r="H26" s="163"/>
      <c r="I26" s="3"/>
      <c r="K26" s="113"/>
    </row>
    <row r="27" spans="1:29" ht="31.15" customHeight="1" thickBot="1" x14ac:dyDescent="0.25">
      <c r="A27" s="1"/>
      <c r="B27" s="122" t="s">
        <v>39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64" t="str">
        <f>Назви!F28</f>
        <v>Сума платежу за розрахунковий період, грн.</v>
      </c>
      <c r="H27" s="165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45861</v>
      </c>
      <c r="D28" s="92"/>
      <c r="E28" s="93"/>
      <c r="F28" s="92"/>
      <c r="G28" s="166">
        <f>-1*E3</f>
        <v>-100000</v>
      </c>
      <c r="H28" s="167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45892</v>
      </c>
      <c r="D29" s="129">
        <f>IFERROR(PPMT($F$9/12,B29,$F$15,-$E$3),0)</f>
        <v>5191.889887808903</v>
      </c>
      <c r="E29" s="139">
        <f>IF(B29&lt;=$F$15,(E$17*(VLOOKUP($H$2,Лист2!$A:$N,12,0)-(B29-1)*VLOOKUP($H$2,Лист2!$A:$N,13,0))),0)</f>
        <v>0</v>
      </c>
      <c r="F29" s="130">
        <f>IFERROR(IPMT($F$9/12,B29,$F$15,-$E$3),0)</f>
        <v>8250</v>
      </c>
      <c r="G29" s="160">
        <f>SUM(D29:F29)</f>
        <v>13441.889887808902</v>
      </c>
      <c r="H29" s="160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45923</v>
      </c>
      <c r="D30" s="129">
        <f t="shared" ref="D30:D88" si="1">IFERROR(PPMT($F$9/12,B30,$F$15,-$E$3),0)</f>
        <v>5620.2208035531376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IFERROR(IPMT($F$9/12,B30,$F$15,-$E$3),0)</f>
        <v>7821.6690842557646</v>
      </c>
      <c r="G30" s="160">
        <f t="shared" ref="G30:G88" si="3">SUM(D30:F30)</f>
        <v>13441.889887808902</v>
      </c>
      <c r="H30" s="160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45953</v>
      </c>
      <c r="D31" s="129">
        <f t="shared" si="1"/>
        <v>6083.8890198462714</v>
      </c>
      <c r="E31" s="140">
        <f>IF(B31&lt;=$F$15,(E$17*(VLOOKUP($H$2,Лист2!$A:$N,12,0)-(B31-1)*VLOOKUP($H$2,Лист2!$A:$N,13,0))),0)</f>
        <v>0</v>
      </c>
      <c r="F31" s="130">
        <f t="shared" si="2"/>
        <v>7358.0008679626289</v>
      </c>
      <c r="G31" s="160">
        <f t="shared" si="3"/>
        <v>13441.8898878089</v>
      </c>
      <c r="H31" s="160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45984</v>
      </c>
      <c r="D32" s="129">
        <f t="shared" si="1"/>
        <v>6585.8098639835889</v>
      </c>
      <c r="E32" s="140">
        <f>IF(B32&lt;=$F$15,(E$17*(VLOOKUP($H$2,Лист2!$A:$N,12,0)-(B32-1)*VLOOKUP($H$2,Лист2!$A:$N,13,0))),0)</f>
        <v>0</v>
      </c>
      <c r="F32" s="130">
        <f t="shared" si="2"/>
        <v>6856.0800238253123</v>
      </c>
      <c r="G32" s="160">
        <f t="shared" si="3"/>
        <v>13441.889887808902</v>
      </c>
      <c r="H32" s="160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46014</v>
      </c>
      <c r="D33" s="129">
        <f t="shared" si="1"/>
        <v>7129.1391777622357</v>
      </c>
      <c r="E33" s="140">
        <f>IF(B33&lt;=$F$15,(E$17*(VLOOKUP($H$2,Лист2!$A:$N,12,0)-(B33-1)*VLOOKUP($H$2,Лист2!$A:$N,13,0))),0)</f>
        <v>0</v>
      </c>
      <c r="F33" s="130">
        <f t="shared" si="2"/>
        <v>6312.7507100466655</v>
      </c>
      <c r="G33" s="160">
        <f t="shared" si="3"/>
        <v>13441.889887808902</v>
      </c>
      <c r="H33" s="160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46045</v>
      </c>
      <c r="D34" s="129">
        <f t="shared" si="1"/>
        <v>7717.2931599276199</v>
      </c>
      <c r="E34" s="140">
        <f>IF(B34&lt;=$F$15,(E$17*(VLOOKUP($H$2,Лист2!$A:$N,12,0)-(B34-1)*VLOOKUP($H$2,Лист2!$A:$N,13,0))),0)</f>
        <v>0</v>
      </c>
      <c r="F34" s="130">
        <f t="shared" si="2"/>
        <v>5724.5967278812832</v>
      </c>
      <c r="G34" s="160">
        <f t="shared" si="3"/>
        <v>13441.889887808902</v>
      </c>
      <c r="H34" s="160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46076</v>
      </c>
      <c r="D35" s="129">
        <f t="shared" si="1"/>
        <v>8353.9698456216483</v>
      </c>
      <c r="E35" s="140">
        <f>IF(B35&lt;=$F$15,(E$17*(VLOOKUP($H$2,Лист2!$A:$N,12,0)-(B35-1)*VLOOKUP($H$2,Лист2!$A:$N,13,0))),0)</f>
        <v>0</v>
      </c>
      <c r="F35" s="130">
        <f t="shared" si="2"/>
        <v>5087.9200421872529</v>
      </c>
      <c r="G35" s="160">
        <f t="shared" si="3"/>
        <v>13441.889887808902</v>
      </c>
      <c r="H35" s="160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46104</v>
      </c>
      <c r="D36" s="129">
        <f t="shared" si="1"/>
        <v>9043.1723578854344</v>
      </c>
      <c r="E36" s="140">
        <f>IF(B36&lt;=$F$15,(E$17*(VLOOKUP($H$2,Лист2!$A:$N,12,0)-(B36-1)*VLOOKUP($H$2,Лист2!$A:$N,13,0))),0)</f>
        <v>0</v>
      </c>
      <c r="F36" s="130">
        <f t="shared" si="2"/>
        <v>4398.7175299234677</v>
      </c>
      <c r="G36" s="160">
        <f t="shared" si="3"/>
        <v>13441.889887808902</v>
      </c>
      <c r="H36" s="160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46135</v>
      </c>
      <c r="D37" s="129">
        <f t="shared" si="1"/>
        <v>9789.2340774109816</v>
      </c>
      <c r="E37" s="140">
        <f>IF(B37&lt;=$F$15,(E$17*(VLOOKUP($H$2,Лист2!$A:$N,12,0)-(B37-1)*VLOOKUP($H$2,Лист2!$A:$N,13,0))),0)</f>
        <v>0</v>
      </c>
      <c r="F37" s="130">
        <f t="shared" si="2"/>
        <v>3652.6558103979187</v>
      </c>
      <c r="G37" s="160">
        <f t="shared" si="3"/>
        <v>13441.8898878089</v>
      </c>
      <c r="H37" s="160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46165</v>
      </c>
      <c r="D38" s="129">
        <f t="shared" si="1"/>
        <v>10596.845888797388</v>
      </c>
      <c r="E38" s="140">
        <f>IF(B38&lt;=$F$15,(E$17*(VLOOKUP($H$2,Лист2!$A:$N,12,0)-(B38-1)*VLOOKUP($H$2,Лист2!$A:$N,13,0))),0)</f>
        <v>0</v>
      </c>
      <c r="F38" s="130">
        <f t="shared" si="2"/>
        <v>2845.0439990115128</v>
      </c>
      <c r="G38" s="160">
        <f t="shared" si="3"/>
        <v>13441.889887808902</v>
      </c>
      <c r="H38" s="160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46196</v>
      </c>
      <c r="D39" s="129">
        <f t="shared" si="1"/>
        <v>11471.085674623175</v>
      </c>
      <c r="E39" s="140">
        <f>IF(B39&lt;=$F$15,(E$17*(VLOOKUP($H$2,Лист2!$A:$N,12,0)-(B39-1)*VLOOKUP($H$2,Лист2!$A:$N,13,0))),0)</f>
        <v>0</v>
      </c>
      <c r="F39" s="130">
        <f t="shared" si="2"/>
        <v>1970.804213185728</v>
      </c>
      <c r="G39" s="160">
        <f t="shared" si="3"/>
        <v>13441.889887808902</v>
      </c>
      <c r="H39" s="160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46226</v>
      </c>
      <c r="D40" s="129">
        <f t="shared" si="1"/>
        <v>12417.450242779585</v>
      </c>
      <c r="E40" s="140">
        <f>IF(B40&lt;=$F$15,(E$17*(VLOOKUP($H$2,Лист2!$A:$N,12,0)-(B40-1)*VLOOKUP($H$2,Лист2!$A:$N,13,0))),0)</f>
        <v>0</v>
      </c>
      <c r="F40" s="130">
        <f t="shared" si="2"/>
        <v>1024.4396450293159</v>
      </c>
      <c r="G40" s="160">
        <f t="shared" si="3"/>
        <v>13441.8898878089</v>
      </c>
      <c r="H40" s="160"/>
      <c r="I40" s="3"/>
    </row>
    <row r="41" spans="1:11" x14ac:dyDescent="0.2">
      <c r="A41" s="1">
        <v>13</v>
      </c>
      <c r="B41" s="101">
        <v>13</v>
      </c>
      <c r="C41" s="138">
        <f t="shared" ca="1" si="0"/>
        <v>46257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60">
        <f t="shared" si="3"/>
        <v>0</v>
      </c>
      <c r="H41" s="160"/>
      <c r="I41" s="3"/>
    </row>
    <row r="42" spans="1:11" x14ac:dyDescent="0.2">
      <c r="A42" s="1">
        <v>14</v>
      </c>
      <c r="B42" s="101">
        <v>14</v>
      </c>
      <c r="C42" s="138">
        <f t="shared" ca="1" si="0"/>
        <v>46288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60">
        <f t="shared" si="3"/>
        <v>0</v>
      </c>
      <c r="H42" s="160"/>
      <c r="I42" s="3"/>
    </row>
    <row r="43" spans="1:11" x14ac:dyDescent="0.2">
      <c r="A43" s="1">
        <v>15</v>
      </c>
      <c r="B43" s="101">
        <v>15</v>
      </c>
      <c r="C43" s="138">
        <f t="shared" ca="1" si="0"/>
        <v>46318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60">
        <f t="shared" si="3"/>
        <v>0</v>
      </c>
      <c r="H43" s="160"/>
      <c r="I43" s="3"/>
    </row>
    <row r="44" spans="1:11" x14ac:dyDescent="0.2">
      <c r="A44" s="1">
        <v>16</v>
      </c>
      <c r="B44" s="101">
        <v>16</v>
      </c>
      <c r="C44" s="138">
        <f t="shared" ca="1" si="0"/>
        <v>46349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60">
        <f t="shared" si="3"/>
        <v>0</v>
      </c>
      <c r="H44" s="160"/>
      <c r="I44" s="3"/>
    </row>
    <row r="45" spans="1:11" x14ac:dyDescent="0.2">
      <c r="A45" s="1">
        <v>22</v>
      </c>
      <c r="B45" s="101">
        <v>17</v>
      </c>
      <c r="C45" s="138">
        <f t="shared" ca="1" si="0"/>
        <v>46379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60">
        <f t="shared" si="3"/>
        <v>0</v>
      </c>
      <c r="H45" s="160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46410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60">
        <f t="shared" si="3"/>
        <v>0</v>
      </c>
      <c r="H46" s="160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46441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60">
        <f t="shared" si="3"/>
        <v>0</v>
      </c>
      <c r="H47" s="160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46469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60">
        <f t="shared" si="3"/>
        <v>0</v>
      </c>
      <c r="H48" s="160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46500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60">
        <f t="shared" si="3"/>
        <v>0</v>
      </c>
      <c r="H49" s="160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46530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60">
        <f t="shared" si="3"/>
        <v>0</v>
      </c>
      <c r="H50" s="160"/>
      <c r="I50" s="3"/>
    </row>
    <row r="51" spans="1:11" x14ac:dyDescent="0.2">
      <c r="A51" s="49">
        <v>25</v>
      </c>
      <c r="B51" s="101">
        <v>23</v>
      </c>
      <c r="C51" s="138">
        <f t="shared" ca="1" si="0"/>
        <v>46561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60">
        <f t="shared" si="3"/>
        <v>0</v>
      </c>
      <c r="H51" s="160"/>
      <c r="I51" s="3"/>
    </row>
    <row r="52" spans="1:11" x14ac:dyDescent="0.2">
      <c r="A52" s="49"/>
      <c r="B52" s="101">
        <v>24</v>
      </c>
      <c r="C52" s="138">
        <f t="shared" ca="1" si="0"/>
        <v>46591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60">
        <f t="shared" si="3"/>
        <v>0</v>
      </c>
      <c r="H52" s="160"/>
      <c r="I52" s="3"/>
    </row>
    <row r="53" spans="1:11" x14ac:dyDescent="0.2">
      <c r="A53" s="49"/>
      <c r="B53" s="101">
        <v>25</v>
      </c>
      <c r="C53" s="138">
        <f t="shared" ca="1" si="0"/>
        <v>46622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60">
        <f t="shared" si="3"/>
        <v>0</v>
      </c>
      <c r="H53" s="160"/>
      <c r="I53" s="3"/>
    </row>
    <row r="54" spans="1:11" x14ac:dyDescent="0.2">
      <c r="A54" s="49"/>
      <c r="B54" s="101">
        <v>26</v>
      </c>
      <c r="C54" s="138">
        <f t="shared" ca="1" si="0"/>
        <v>46653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60">
        <f t="shared" si="3"/>
        <v>0</v>
      </c>
      <c r="H54" s="160"/>
      <c r="I54" s="3"/>
    </row>
    <row r="55" spans="1:11" x14ac:dyDescent="0.2">
      <c r="A55" s="49"/>
      <c r="B55" s="101">
        <v>27</v>
      </c>
      <c r="C55" s="138">
        <f t="shared" ca="1" si="0"/>
        <v>46683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60">
        <f t="shared" si="3"/>
        <v>0</v>
      </c>
      <c r="H55" s="160"/>
      <c r="I55" s="3"/>
    </row>
    <row r="56" spans="1:11" x14ac:dyDescent="0.2">
      <c r="A56" s="49"/>
      <c r="B56" s="101">
        <v>28</v>
      </c>
      <c r="C56" s="138">
        <f t="shared" ca="1" si="0"/>
        <v>46714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60">
        <f t="shared" si="3"/>
        <v>0</v>
      </c>
      <c r="H56" s="160"/>
      <c r="I56" s="3"/>
    </row>
    <row r="57" spans="1:11" x14ac:dyDescent="0.2">
      <c r="A57" s="49"/>
      <c r="B57" s="101">
        <v>29</v>
      </c>
      <c r="C57" s="138">
        <f t="shared" ca="1" si="0"/>
        <v>46744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60">
        <f t="shared" si="3"/>
        <v>0</v>
      </c>
      <c r="H57" s="160"/>
      <c r="I57" s="3"/>
    </row>
    <row r="58" spans="1:11" x14ac:dyDescent="0.2">
      <c r="A58" s="49">
        <v>25</v>
      </c>
      <c r="B58" s="101">
        <v>30</v>
      </c>
      <c r="C58" s="138">
        <f t="shared" ca="1" si="0"/>
        <v>46775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60">
        <f t="shared" si="3"/>
        <v>0</v>
      </c>
      <c r="H58" s="160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46806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60">
        <f t="shared" si="3"/>
        <v>0</v>
      </c>
      <c r="H59" s="160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46835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60">
        <f t="shared" si="3"/>
        <v>0</v>
      </c>
      <c r="H60" s="160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46866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60">
        <f t="shared" si="3"/>
        <v>0</v>
      </c>
      <c r="H61" s="160"/>
      <c r="I61" s="106"/>
      <c r="J61" s="106"/>
    </row>
    <row r="62" spans="1:11" x14ac:dyDescent="0.2">
      <c r="A62" s="49"/>
      <c r="B62" s="101">
        <v>34</v>
      </c>
      <c r="C62" s="138">
        <f t="shared" ca="1" si="0"/>
        <v>46896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60">
        <f t="shared" si="3"/>
        <v>0</v>
      </c>
      <c r="H62" s="160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46927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60">
        <f t="shared" si="3"/>
        <v>0</v>
      </c>
      <c r="H63" s="160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46957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60">
        <f t="shared" si="3"/>
        <v>0</v>
      </c>
      <c r="H64" s="160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46988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60">
        <f t="shared" si="3"/>
        <v>0</v>
      </c>
      <c r="H65" s="160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47019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60">
        <f t="shared" si="3"/>
        <v>0</v>
      </c>
      <c r="H66" s="160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47049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60">
        <f t="shared" si="3"/>
        <v>0</v>
      </c>
      <c r="H67" s="160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47080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60">
        <f t="shared" si="3"/>
        <v>0</v>
      </c>
      <c r="H68" s="160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47110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60">
        <f t="shared" si="3"/>
        <v>0</v>
      </c>
      <c r="H69" s="160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47141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60">
        <f t="shared" si="3"/>
        <v>0</v>
      </c>
      <c r="H70" s="160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47172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60">
        <f t="shared" si="3"/>
        <v>0</v>
      </c>
      <c r="H71" s="160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47200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60">
        <f t="shared" si="3"/>
        <v>0</v>
      </c>
      <c r="H72" s="160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47231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60">
        <f t="shared" si="3"/>
        <v>0</v>
      </c>
      <c r="H73" s="160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47261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60">
        <f t="shared" si="3"/>
        <v>0</v>
      </c>
      <c r="H74" s="160"/>
      <c r="I74" s="106"/>
      <c r="J74" s="106"/>
    </row>
    <row r="75" spans="1:10" x14ac:dyDescent="0.2">
      <c r="A75" s="49"/>
      <c r="B75" s="101">
        <v>47</v>
      </c>
      <c r="C75" s="104">
        <f t="shared" ca="1" si="0"/>
        <v>47292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60">
        <f t="shared" si="3"/>
        <v>0</v>
      </c>
      <c r="H75" s="160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47322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60">
        <f t="shared" si="3"/>
        <v>0</v>
      </c>
      <c r="H76" s="160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47353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60">
        <f t="shared" si="3"/>
        <v>0</v>
      </c>
      <c r="H77" s="160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47384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60">
        <f t="shared" si="3"/>
        <v>0</v>
      </c>
      <c r="H78" s="160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47414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60">
        <f t="shared" si="3"/>
        <v>0</v>
      </c>
      <c r="H79" s="160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47445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60">
        <f t="shared" si="3"/>
        <v>0</v>
      </c>
      <c r="H80" s="160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47475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60">
        <f t="shared" si="3"/>
        <v>0</v>
      </c>
      <c r="H81" s="160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47506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60">
        <f t="shared" si="3"/>
        <v>0</v>
      </c>
      <c r="H82" s="160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47537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60">
        <f t="shared" si="3"/>
        <v>0</v>
      </c>
      <c r="H83" s="160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47565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60">
        <f t="shared" si="3"/>
        <v>0</v>
      </c>
      <c r="H84" s="160"/>
      <c r="I84" s="106"/>
      <c r="J84" s="106"/>
    </row>
    <row r="85" spans="1:10" x14ac:dyDescent="0.2">
      <c r="A85" s="49"/>
      <c r="B85" s="101">
        <v>57</v>
      </c>
      <c r="C85" s="104">
        <f t="shared" ca="1" si="0"/>
        <v>47596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60">
        <f t="shared" si="3"/>
        <v>0</v>
      </c>
      <c r="H85" s="160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47626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60">
        <f t="shared" si="3"/>
        <v>0</v>
      </c>
      <c r="H86" s="160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47657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60">
        <f t="shared" si="3"/>
        <v>0</v>
      </c>
      <c r="H87" s="160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47687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73">
        <f t="shared" si="3"/>
        <v>0</v>
      </c>
      <c r="H88" s="173"/>
      <c r="I88" s="106"/>
      <c r="J88" s="106"/>
    </row>
    <row r="89" spans="1:10" ht="16.5" thickBot="1" x14ac:dyDescent="0.25">
      <c r="A89" s="49"/>
      <c r="B89" s="168" t="s">
        <v>1</v>
      </c>
      <c r="C89" s="169"/>
      <c r="D89" s="133">
        <f>SUM(D29:D88)</f>
        <v>99999.999999999971</v>
      </c>
      <c r="E89" s="133">
        <f>SUM(E29:E88)</f>
        <v>0</v>
      </c>
      <c r="F89" s="133">
        <f>SUM(F29:F88)</f>
        <v>61302.678653706847</v>
      </c>
      <c r="G89" s="170">
        <f>SUM(G29:H88)</f>
        <v>161302.67865370685</v>
      </c>
      <c r="H89" s="171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72" t="s">
        <v>3</v>
      </c>
      <c r="F91" s="172"/>
      <c r="G91" s="172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vgAPd9xlHadUtc5yP0glI+t0pvtfxD5wnYq7X9ZwsAlBiq7HrpxmfE67ttBS6++dkgYiS9AYlGoMF46tlYcyHg==" saltValue="jmB121XYUG5nrbNLHOVjQw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000-000000000000}">
      <formula1>$K$14:$K$16</formula1>
    </dataValidation>
  </dataValidations>
  <pageMargins left="0.39370078740157483" right="0.35433070866141736" top="0.59055118110236227" bottom="0.59055118110236227" header="0.51181102362204722" footer="0.51181102362204722"/>
  <pageSetup paperSize="9" scale="68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6"/>
  <sheetViews>
    <sheetView zoomScale="85" zoomScaleNormal="85" workbookViewId="0">
      <selection activeCell="B27" sqref="B27"/>
    </sheetView>
  </sheetViews>
  <sheetFormatPr defaultColWidth="9.140625" defaultRowHeight="12.75" x14ac:dyDescent="0.2"/>
  <cols>
    <col min="1" max="1" width="35.28515625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48</v>
      </c>
      <c r="B4" s="117">
        <v>500000</v>
      </c>
      <c r="C4" s="117">
        <v>36</v>
      </c>
      <c r="D4" s="118">
        <v>0.89</v>
      </c>
      <c r="E4" s="118">
        <v>0</v>
      </c>
      <c r="F4" s="118">
        <v>0</v>
      </c>
      <c r="G4" s="117" t="str">
        <f t="shared" ref="G4" si="0">I$2&amp;" "&amp;B4&amp;" "&amp;H$2</f>
        <v>max. 500000 грн.</v>
      </c>
      <c r="H4" s="117">
        <f t="shared" ref="H4" si="1">B4+B4*E4</f>
        <v>500000</v>
      </c>
      <c r="I4" s="117"/>
      <c r="J4" s="117">
        <v>4</v>
      </c>
      <c r="K4" s="119">
        <f t="shared" ref="K4" si="2">D4/12/(1-1/POWER(1+D4/12,C4))*H4+H4*F4</f>
        <v>40138.08934632958</v>
      </c>
      <c r="L4" s="120">
        <v>0</v>
      </c>
      <c r="M4" s="121">
        <v>0</v>
      </c>
      <c r="N4" s="117">
        <v>5000</v>
      </c>
    </row>
    <row r="5" spans="1:14" x14ac:dyDescent="0.2">
      <c r="A5" s="117" t="s">
        <v>46</v>
      </c>
      <c r="B5" s="117">
        <v>500000</v>
      </c>
      <c r="C5" s="117">
        <v>24</v>
      </c>
      <c r="D5" s="118">
        <v>0.9</v>
      </c>
      <c r="E5" s="118">
        <v>0</v>
      </c>
      <c r="F5" s="118">
        <v>0</v>
      </c>
      <c r="G5" s="117" t="str">
        <f t="shared" ref="G5" si="3">I$2&amp;" "&amp;B5&amp;" "&amp;H$2</f>
        <v>max. 500000 грн.</v>
      </c>
      <c r="H5" s="117">
        <f t="shared" ref="H5" si="4">B5+B5*E5</f>
        <v>500000</v>
      </c>
      <c r="I5" s="117"/>
      <c r="J5" s="117">
        <v>4</v>
      </c>
      <c r="K5" s="119">
        <f t="shared" ref="K5" si="5">D5/12/(1-1/POWER(1+D5/12,C5))*H5+H5*F5</f>
        <v>45525.039736107785</v>
      </c>
      <c r="L5" s="120">
        <v>0</v>
      </c>
      <c r="M5" s="121">
        <v>0</v>
      </c>
      <c r="N5" s="117">
        <v>5000</v>
      </c>
    </row>
    <row r="6" spans="1:14" x14ac:dyDescent="0.2">
      <c r="A6" s="117" t="s">
        <v>47</v>
      </c>
      <c r="B6" s="117">
        <v>500000</v>
      </c>
      <c r="C6" s="117">
        <v>12</v>
      </c>
      <c r="D6" s="118">
        <v>0.99</v>
      </c>
      <c r="E6" s="118">
        <v>0</v>
      </c>
      <c r="F6" s="118">
        <v>0</v>
      </c>
      <c r="G6" s="117" t="str">
        <f t="shared" ref="G6" si="6">I$2&amp;" "&amp;B6&amp;" "&amp;H$2</f>
        <v>max. 500000 грн.</v>
      </c>
      <c r="H6" s="117">
        <f t="shared" ref="H6" si="7">B6+B6*E6</f>
        <v>500000</v>
      </c>
      <c r="I6" s="117"/>
      <c r="J6" s="117">
        <v>6</v>
      </c>
      <c r="K6" s="119">
        <f t="shared" ref="K6" si="8">D6/12/(1-1/POWER(1+D6/12,C6))*H6+H6*F6</f>
        <v>67209.449439044547</v>
      </c>
      <c r="L6" s="120">
        <v>0</v>
      </c>
      <c r="M6" s="121">
        <v>0</v>
      </c>
      <c r="N6" s="117">
        <v>5000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9" t="s">
        <v>13</v>
      </c>
      <c r="B1" s="190"/>
      <c r="C1" s="190"/>
      <c r="D1" s="191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84" t="s">
        <v>30</v>
      </c>
      <c r="B3" s="185"/>
      <c r="C3" s="185"/>
      <c r="D3" s="186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84" t="s">
        <v>29</v>
      </c>
      <c r="B5" s="185"/>
      <c r="C5" s="185"/>
      <c r="D5" s="186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84" t="s">
        <v>31</v>
      </c>
      <c r="B7" s="185"/>
      <c r="C7" s="185"/>
      <c r="D7" s="186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84" t="s">
        <v>44</v>
      </c>
      <c r="B9" s="185"/>
      <c r="C9" s="185"/>
      <c r="D9" s="186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84" t="s">
        <v>43</v>
      </c>
      <c r="B12" s="185"/>
      <c r="C12" s="185"/>
      <c r="D12" s="186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84" t="s">
        <v>38</v>
      </c>
      <c r="B14" s="185"/>
      <c r="C14" s="185"/>
      <c r="D14" s="186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84" t="s">
        <v>42</v>
      </c>
      <c r="B16" s="185"/>
      <c r="C16" s="185"/>
      <c r="D16" s="186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37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7" t="s">
        <v>5</v>
      </c>
      <c r="B20" s="188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74" t="s">
        <v>16</v>
      </c>
      <c r="B21" s="175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74" t="s">
        <v>6</v>
      </c>
      <c r="B22" s="175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74" t="s">
        <v>14</v>
      </c>
      <c r="B23" s="175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74" t="s">
        <v>15</v>
      </c>
      <c r="B24" s="175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77" t="s">
        <v>36</v>
      </c>
      <c r="B27" s="178"/>
      <c r="C27" s="178"/>
      <c r="D27" s="178"/>
      <c r="E27" s="178"/>
      <c r="F27" s="178"/>
      <c r="G27" s="179"/>
    </row>
    <row r="28" spans="1:8" ht="45.75" thickBot="1" x14ac:dyDescent="0.25">
      <c r="A28" s="180" t="s">
        <v>2</v>
      </c>
      <c r="B28" s="181"/>
      <c r="C28" s="84" t="s">
        <v>34</v>
      </c>
      <c r="D28" s="84" t="s">
        <v>32</v>
      </c>
      <c r="E28" s="84" t="s">
        <v>33</v>
      </c>
      <c r="F28" s="182" t="s">
        <v>35</v>
      </c>
      <c r="G28" s="183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76"/>
      <c r="E30" s="176"/>
      <c r="F30" s="176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password="B631" sheet="1" objects="1" scenarios="1" selectLockedCells="1"/>
  <mergeCells count="17">
    <mergeCell ref="A12:D12"/>
    <mergeCell ref="A14:D14"/>
    <mergeCell ref="A16:D16"/>
    <mergeCell ref="A20:B20"/>
    <mergeCell ref="A1:D1"/>
    <mergeCell ref="A3:D3"/>
    <mergeCell ref="A5:D5"/>
    <mergeCell ref="A7:D7"/>
    <mergeCell ref="A9:D9"/>
    <mergeCell ref="A21:B21"/>
    <mergeCell ref="A22:B22"/>
    <mergeCell ref="D30:F30"/>
    <mergeCell ref="A24:B24"/>
    <mergeCell ref="A27:G27"/>
    <mergeCell ref="A28:B28"/>
    <mergeCell ref="F28:G28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Мобільний_для лідогенераторів</vt:lpstr>
      <vt:lpstr>Лист2</vt:lpstr>
      <vt:lpstr>Назви</vt:lpstr>
      <vt:lpstr>'Мобільний_для лідогенераторів'!Область_друку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2025-07-23T13:26:29Z</dcterms:modified>
</cp:coreProperties>
</file>