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Миттєвий\"/>
    </mc:Choice>
  </mc:AlternateContent>
  <xr:revisionPtr revIDLastSave="0" documentId="13_ncr:1_{368011E7-0EFD-4010-8C58-2305EB196607}" xr6:coauthVersionLast="47" xr6:coauthVersionMax="47" xr10:uidLastSave="{00000000-0000-0000-0000-000000000000}"/>
  <workbookProtection workbookAlgorithmName="SHA-512" workbookHashValue="4dUxql2VgTuxGic9iBJQtV1vYXZqJqUMowpVyf814h1q1Qvh1WRNhH3Gv6OD6dMjhVaygEOryAb3siIPCBGK9w==" workbookSaltValue="IpZnSqvArqMYtAXjRoxBBA==" workbookSpinCount="100000" lockStructure="1"/>
  <bookViews>
    <workbookView xWindow="-120" yWindow="-120" windowWidth="29040" windowHeight="15990" tabRatio="831" xr2:uid="{00000000-000D-0000-FFFF-FFFF00000000}"/>
  </bookViews>
  <sheets>
    <sheet name="Миттєвий" sheetId="189" r:id="rId1"/>
    <sheet name="Лист2" sheetId="165" state="hidden" r:id="rId2"/>
    <sheet name="Назви" sheetId="161" state="hidden" r:id="rId3"/>
  </sheets>
  <definedNames>
    <definedName name="_xlnm._FilterDatabase" localSheetId="0" hidden="1">Миттєвий!$A$27:$H$89</definedName>
    <definedName name="_xlnm.Print_Area" localSheetId="0">Миттєвий!$A$1:$L$92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K18" i="189" l="1"/>
  <c r="H6" i="165"/>
  <c r="K6" i="165" s="1"/>
  <c r="G6" i="165"/>
  <c r="K16" i="189" l="1"/>
  <c r="K17" i="189"/>
  <c r="G4" i="165"/>
  <c r="H4" i="165"/>
  <c r="K4" i="165" s="1"/>
  <c r="G5" i="165"/>
  <c r="H5" i="165"/>
  <c r="K5" i="165" s="1"/>
  <c r="G27" i="189" l="1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F11" i="189"/>
  <c r="E16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29" i="189" l="1"/>
  <c r="C30" i="189" s="1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E3" i="189"/>
  <c r="F3" i="189" s="1"/>
  <c r="F72" i="189" l="1"/>
  <c r="D83" i="189"/>
  <c r="D67" i="189"/>
  <c r="F75" i="189"/>
  <c r="D86" i="189"/>
  <c r="D70" i="189"/>
  <c r="F78" i="189"/>
  <c r="D88" i="189"/>
  <c r="D73" i="189"/>
  <c r="F81" i="189"/>
  <c r="F65" i="189"/>
  <c r="D84" i="189"/>
  <c r="F84" i="189"/>
  <c r="F68" i="189"/>
  <c r="D79" i="189"/>
  <c r="F87" i="189"/>
  <c r="F71" i="189"/>
  <c r="D82" i="189"/>
  <c r="D66" i="189"/>
  <c r="F74" i="189"/>
  <c r="D85" i="189"/>
  <c r="D69" i="189"/>
  <c r="F77" i="189"/>
  <c r="F88" i="189"/>
  <c r="D72" i="189"/>
  <c r="F80" i="189"/>
  <c r="D80" i="189"/>
  <c r="D75" i="189"/>
  <c r="F83" i="189"/>
  <c r="F67" i="189"/>
  <c r="D78" i="189"/>
  <c r="F86" i="189"/>
  <c r="F70" i="189"/>
  <c r="D81" i="189"/>
  <c r="D65" i="189"/>
  <c r="F73" i="189"/>
  <c r="D68" i="189"/>
  <c r="F76" i="189"/>
  <c r="D87" i="189"/>
  <c r="D71" i="189"/>
  <c r="F79" i="189"/>
  <c r="D76" i="189"/>
  <c r="D74" i="189"/>
  <c r="F82" i="189"/>
  <c r="F66" i="189"/>
  <c r="D77" i="189"/>
  <c r="F85" i="189"/>
  <c r="F69" i="189"/>
  <c r="D29" i="189"/>
  <c r="D49" i="189"/>
  <c r="D33" i="189"/>
  <c r="F53" i="189"/>
  <c r="F37" i="189"/>
  <c r="D56" i="189"/>
  <c r="D40" i="189"/>
  <c r="F60" i="189"/>
  <c r="F44" i="189"/>
  <c r="D63" i="189"/>
  <c r="D47" i="189"/>
  <c r="D31" i="189"/>
  <c r="F51" i="189"/>
  <c r="F35" i="189"/>
  <c r="D54" i="189"/>
  <c r="D38" i="189"/>
  <c r="F58" i="189"/>
  <c r="F42" i="189"/>
  <c r="D61" i="189"/>
  <c r="D45" i="189"/>
  <c r="F29" i="189"/>
  <c r="F49" i="189"/>
  <c r="F33" i="189"/>
  <c r="D52" i="189"/>
  <c r="D36" i="189"/>
  <c r="F56" i="189"/>
  <c r="F40" i="189"/>
  <c r="D59" i="189"/>
  <c r="D43" i="189"/>
  <c r="F63" i="189"/>
  <c r="F47" i="189"/>
  <c r="F31" i="189"/>
  <c r="D50" i="189"/>
  <c r="D34" i="189"/>
  <c r="F54" i="189"/>
  <c r="F38" i="189"/>
  <c r="D57" i="189"/>
  <c r="D41" i="189"/>
  <c r="F61" i="189"/>
  <c r="F45" i="189"/>
  <c r="D64" i="189"/>
  <c r="D48" i="189"/>
  <c r="D32" i="189"/>
  <c r="F52" i="189"/>
  <c r="F36" i="189"/>
  <c r="D55" i="189"/>
  <c r="D39" i="189"/>
  <c r="F59" i="189"/>
  <c r="F43" i="189"/>
  <c r="D62" i="189"/>
  <c r="D46" i="189"/>
  <c r="D30" i="189"/>
  <c r="F50" i="189"/>
  <c r="F34" i="189"/>
  <c r="D53" i="189"/>
  <c r="D37" i="189"/>
  <c r="F57" i="189"/>
  <c r="F41" i="189"/>
  <c r="D60" i="189"/>
  <c r="D44" i="189"/>
  <c r="F64" i="189"/>
  <c r="F48" i="189"/>
  <c r="F32" i="189"/>
  <c r="D51" i="189"/>
  <c r="D35" i="189"/>
  <c r="F55" i="189"/>
  <c r="F39" i="189"/>
  <c r="D58" i="189"/>
  <c r="D42" i="189"/>
  <c r="F62" i="189"/>
  <c r="F46" i="189"/>
  <c r="F30" i="189"/>
  <c r="E17" i="189"/>
  <c r="E76" i="189" s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F1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F7" i="189" s="1"/>
  <c r="G89" i="189" l="1"/>
  <c r="F20" i="189" s="1"/>
  <c r="F22" i="189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E23" i="161"/>
  <c r="F23" i="161"/>
  <c r="G23" i="161"/>
  <c r="C24" i="161"/>
  <c r="H24" i="161" s="1"/>
  <c r="D24" i="161"/>
  <c r="G24" i="161" s="1"/>
  <c r="E24" i="161"/>
  <c r="F24" i="161"/>
  <c r="G22" i="161" l="1"/>
  <c r="G21" i="161"/>
</calcChain>
</file>

<file path=xl/sharedStrings.xml><?xml version="1.0" encoding="utf-8"?>
<sst xmlns="http://schemas.openxmlformats.org/spreadsheetml/2006/main" count="54" uniqueCount="49">
  <si>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</si>
  <si>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</si>
  <si>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</si>
  <si>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</si>
  <si>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</si>
  <si>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</si>
  <si>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</si>
  <si>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</si>
  <si>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</si>
  <si>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</si>
  <si>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</si>
  <si>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</si>
  <si>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</si>
  <si>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</si>
  <si>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</si>
  <si>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</si>
  <si>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</si>
  <si>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</si>
  <si>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</si>
  <si>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</si>
  <si>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</si>
  <si>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</si>
  <si>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</si>
  <si>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</si>
  <si>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</si>
  <si>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</si>
  <si>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</si>
  <si>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</si>
  <si>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</si>
  <si>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</si>
  <si>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</si>
  <si>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</si>
  <si>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</si>
  <si>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</si>
  <si>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</si>
  <si>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</si>
  <si>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</si>
  <si>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</si>
  <si>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</si>
  <si>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</si>
  <si>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</si>
  <si>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</si>
  <si>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</si>
  <si>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</si>
  <si>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</si>
  <si>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</si>
  <si>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Миттєвий, 36 міс.</t>
  </si>
  <si>
    <t>Миттєвий, 24 міс.</t>
  </si>
  <si>
    <t>Миттєвий, 12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</si>
</sst>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" xfId="23" applyNumberFormat="1" applyFont="1" applyBorder="1" applyAlignment="1">
      <alignment horizontal="center"/>
    </xf>
    <xf numFmtId="4" fontId="16" fillId="0" borderId="14" xfId="23" applyNumberFormat="1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0" fontId="16" fillId="0" borderId="0" xfId="23" applyNumberFormat="1" applyFont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3</xdr:col>
      <xdr:colOff>1276350</xdr:colOff>
      <xdr:row>3</xdr:row>
      <xdr:rowOff>85725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0025" y="0"/>
          <a:ext cx="2800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FF000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65" t="s">
        <v>40</v>
      </c>
      <c r="I1" s="165"/>
    </row>
    <row r="2" spans="1:29" ht="12.75" customHeight="1" x14ac:dyDescent="0.2">
      <c r="A2" s="2"/>
      <c r="B2" s="50"/>
      <c r="C2" s="50"/>
      <c r="D2" s="50"/>
      <c r="E2" s="108">
        <f>VLOOKUP(Миттєвий!H2,Лист2!A:N,14,FALSE)</f>
        <v>5000</v>
      </c>
      <c r="F2" s="100">
        <f>VLOOKUP(H$2,Лист2!$A:$G,2,0)</f>
        <v>50000</v>
      </c>
      <c r="G2" s="116">
        <f ca="1">TODAY()</f>
        <v>45868</v>
      </c>
      <c r="H2" s="166" t="s">
        <v>46</v>
      </c>
      <c r="I2" s="167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50000</v>
      </c>
      <c r="F3" s="168" t="str">
        <f>IF(E3="x","Збільшіть суму",IF(E3="y","Зменшіть суму",""))</f>
        <v/>
      </c>
      <c r="G3" s="57">
        <f>Назви!B33</f>
        <v>30.4</v>
      </c>
      <c r="H3" s="169" t="str">
        <f>VLOOKUP(H$2,Лист2!$A:$G,7,0)</f>
        <v>max. 50000 грн.</v>
      </c>
      <c r="I3" s="170"/>
      <c r="J3" s="42"/>
    </row>
    <row r="4" spans="1:29" ht="9" customHeight="1" thickBot="1" x14ac:dyDescent="0.25">
      <c r="A4" s="2"/>
      <c r="B4" s="2"/>
      <c r="C4" s="2"/>
      <c r="D4" s="2"/>
      <c r="E4" s="108"/>
      <c r="F4" s="168"/>
      <c r="G4" s="35"/>
      <c r="H4" s="124"/>
      <c r="I4" s="42"/>
      <c r="J4" s="42"/>
      <c r="K4" s="54"/>
    </row>
    <row r="5" spans="1:29" ht="21" customHeight="1" thickBot="1" x14ac:dyDescent="0.25">
      <c r="A5" s="1"/>
      <c r="B5" s="171" t="s">
        <v>45</v>
      </c>
      <c r="C5" s="172"/>
      <c r="D5" s="172"/>
      <c r="E5" s="173"/>
      <c r="F5" s="134">
        <v>50000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customHeight="1" x14ac:dyDescent="0.2">
      <c r="A7" s="1"/>
      <c r="B7" s="159" t="s">
        <v>41</v>
      </c>
      <c r="C7" s="160"/>
      <c r="D7" s="160"/>
      <c r="E7" s="161"/>
      <c r="F7" s="13">
        <f>D89</f>
        <v>50000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59" t="str">
        <f>Назви!A3</f>
        <v>Процентна ставка, % річних</v>
      </c>
      <c r="C9" s="160">
        <f>Назви!B3</f>
        <v>0</v>
      </c>
      <c r="D9" s="160">
        <f>Назви!C3</f>
        <v>0</v>
      </c>
      <c r="E9" s="161">
        <f>Назви!D3</f>
        <v>0</v>
      </c>
      <c r="F9" s="32">
        <f>VLOOKUP(H$2,Лист2!$A:$G,4,0)</f>
        <v>0.69989999999999997</v>
      </c>
      <c r="G9" s="151"/>
      <c r="H9" s="151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59" t="str">
        <f>Назви!A5</f>
        <v>Разовий страховий тариф, %</v>
      </c>
      <c r="C11" s="160">
        <f>Назви!B5</f>
        <v>0</v>
      </c>
      <c r="D11" s="160">
        <f>Назви!C5</f>
        <v>0</v>
      </c>
      <c r="E11" s="161">
        <f>Назви!D5</f>
        <v>0</v>
      </c>
      <c r="F11" s="32">
        <f>VLOOKUP(H$2,Лист2!$A:$G,5,0)</f>
        <v>0</v>
      </c>
      <c r="G11" s="151"/>
      <c r="H11" s="151"/>
      <c r="I11" s="3"/>
      <c r="J11" s="43"/>
      <c r="K11" s="113"/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/>
    </row>
    <row r="13" spans="1:29" x14ac:dyDescent="0.2">
      <c r="A13" s="1"/>
      <c r="B13" s="159" t="str">
        <f>Назви!A7</f>
        <v xml:space="preserve">Щомісячна плата за обслуговування кредитної заборгованості, % </v>
      </c>
      <c r="C13" s="160">
        <f>Назви!B7</f>
        <v>0</v>
      </c>
      <c r="D13" s="160">
        <f>Назви!C7</f>
        <v>0</v>
      </c>
      <c r="E13" s="161">
        <f>Назви!D7</f>
        <v>0</v>
      </c>
      <c r="F13" s="32">
        <f>VLOOKUP(H$2,Лист2!$A:$G,6,0)</f>
        <v>0</v>
      </c>
      <c r="G13" s="151"/>
      <c r="H13" s="151"/>
      <c r="I13" s="3"/>
      <c r="J13" s="43"/>
      <c r="K13" s="113"/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/>
    </row>
    <row r="15" spans="1:29" x14ac:dyDescent="0.2">
      <c r="A15" s="1"/>
      <c r="B15" s="159" t="str">
        <f>Назви!A9</f>
        <v>Термін кредитування (міс.)</v>
      </c>
      <c r="C15" s="160">
        <f>Назви!B9</f>
        <v>0</v>
      </c>
      <c r="D15" s="160">
        <f>Назви!C9</f>
        <v>0</v>
      </c>
      <c r="E15" s="161">
        <f>Назви!D9</f>
        <v>0</v>
      </c>
      <c r="F15" s="53">
        <f>VLOOKUP(H$2,Лист2!$A:$G,3,0)</f>
        <v>36</v>
      </c>
      <c r="G15" s="151"/>
      <c r="H15" s="151"/>
      <c r="I15" s="3"/>
      <c r="J15" s="43"/>
      <c r="K15" s="113"/>
    </row>
    <row r="16" spans="1:29" s="12" customFormat="1" ht="7.9" customHeight="1" x14ac:dyDescent="0.2">
      <c r="A16" s="1"/>
      <c r="B16" s="10"/>
      <c r="C16" s="48"/>
      <c r="D16" s="94"/>
      <c r="E16" s="114">
        <f>F5*F11</f>
        <v>0</v>
      </c>
      <c r="F16" s="50"/>
      <c r="G16" s="96"/>
      <c r="H16" s="11"/>
      <c r="I16" s="1"/>
      <c r="J16" s="44"/>
      <c r="K16" s="113" t="str">
        <f>Лист2!A4</f>
        <v>Миттєвий, 36 міс.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50000</v>
      </c>
      <c r="F17" s="50"/>
      <c r="G17" s="96"/>
      <c r="H17" s="11"/>
      <c r="I17" s="1"/>
      <c r="J17" s="99"/>
      <c r="K17" s="113" t="str">
        <f>Лист2!A5</f>
        <v>Миттєвий, 24 міс.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48" t="str">
        <f>Назви!A12</f>
        <v>Орієнтовний платіж, грн.</v>
      </c>
      <c r="C18" s="149">
        <f>Назви!B12</f>
        <v>0</v>
      </c>
      <c r="D18" s="149">
        <f>Назви!C12</f>
        <v>0</v>
      </c>
      <c r="E18" s="150">
        <f>Назви!D12</f>
        <v>0</v>
      </c>
      <c r="F18" s="13">
        <f>PMT(F9/12,F15,-E17)+F13*E17</f>
        <v>3351.7470836482162</v>
      </c>
      <c r="G18" s="162"/>
      <c r="H18" s="163"/>
      <c r="I18" s="105"/>
      <c r="J18" s="44"/>
      <c r="K18" s="113" t="str">
        <f>Лист2!A6</f>
        <v>Миттєвий, 12 міс.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48" t="str">
        <f>Назви!A14</f>
        <v>Орієнтовні загальні витрати за кредитом, грн.</v>
      </c>
      <c r="C20" s="149">
        <f>Назви!B14</f>
        <v>0</v>
      </c>
      <c r="D20" s="149">
        <f>Назви!C14</f>
        <v>0</v>
      </c>
      <c r="E20" s="150">
        <f>Назви!D14</f>
        <v>0</v>
      </c>
      <c r="F20" s="13">
        <f>G89-E3</f>
        <v>70662.895011335684</v>
      </c>
      <c r="G20" s="164"/>
      <c r="H20" s="164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48" t="str">
        <f>Назви!A16</f>
        <v>Орієнтовна загальна вартість кредиту, грн.</v>
      </c>
      <c r="C22" s="149">
        <f>Назви!B16</f>
        <v>0</v>
      </c>
      <c r="D22" s="149">
        <f>Назви!C16</f>
        <v>0</v>
      </c>
      <c r="E22" s="150">
        <f>Назви!D16</f>
        <v>0</v>
      </c>
      <c r="F22" s="13">
        <f>E3+F20</f>
        <v>120662.89501133568</v>
      </c>
      <c r="G22" s="151"/>
      <c r="H22" s="151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48" t="str">
        <f>Назви!A18</f>
        <v>Орієнтовна реальна річна процентна ставка, %</v>
      </c>
      <c r="C24" s="149"/>
      <c r="D24" s="149"/>
      <c r="E24" s="150"/>
      <c r="F24" s="32">
        <f ca="1">XIRR(G28:G88,C28:C88)</f>
        <v>0.96622141599655142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52" t="str">
        <f>Назви!A27</f>
        <v>Орієнтовний порядок повернення кредиту</v>
      </c>
      <c r="C26" s="153"/>
      <c r="D26" s="153"/>
      <c r="E26" s="153"/>
      <c r="F26" s="153"/>
      <c r="G26" s="153"/>
      <c r="H26" s="154"/>
      <c r="I26" s="3"/>
      <c r="K26" s="113"/>
    </row>
    <row r="27" spans="1:29" ht="31.15" customHeight="1" thickBot="1" x14ac:dyDescent="0.25">
      <c r="A27" s="1"/>
      <c r="B27" s="122" t="s">
        <v>39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55" t="str">
        <f>Назви!F28</f>
        <v>Сума платежу за розрахунковий період, грн.</v>
      </c>
      <c r="H27" s="156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45868</v>
      </c>
      <c r="D28" s="92"/>
      <c r="E28" s="93"/>
      <c r="F28" s="92"/>
      <c r="G28" s="157">
        <f>-1*E3</f>
        <v>-50000</v>
      </c>
      <c r="H28" s="158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45899</v>
      </c>
      <c r="D29" s="129">
        <f>IFERROR(PPMT($F$9/12,B29,$F$15,-$E$3),0)</f>
        <v>435.49708364821652</v>
      </c>
      <c r="E29" s="139">
        <f>IF(B29&lt;=$F$15,(E$17*(VLOOKUP($H$2,Лист2!$A:$N,12,0)-(B29-1)*VLOOKUP($H$2,Лист2!$A:$N,13,0))),0)</f>
        <v>0</v>
      </c>
      <c r="F29" s="130">
        <f>IFERROR(IPMT($F$9/12,B29,$F$15,-$E$3),0)</f>
        <v>2916.2499999999995</v>
      </c>
      <c r="G29" s="146">
        <f>SUM(D29:F29)</f>
        <v>3351.7470836482162</v>
      </c>
      <c r="H29" s="146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45930</v>
      </c>
      <c r="D30" s="129">
        <f t="shared" ref="D30:D88" si="1">IFERROR(PPMT($F$9/12,B30,$F$15,-$E$3),0)</f>
        <v>460.89745105199876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IFERROR(IPMT($F$9/12,B30,$F$15,-$E$3),0)</f>
        <v>2890.8496325962174</v>
      </c>
      <c r="G30" s="146">
        <f t="shared" ref="G30:G88" si="3">SUM(D30:F30)</f>
        <v>3351.7470836482162</v>
      </c>
      <c r="H30" s="146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45960</v>
      </c>
      <c r="D31" s="129">
        <f t="shared" si="1"/>
        <v>487.7792948846066</v>
      </c>
      <c r="E31" s="140">
        <f>IF(B31&lt;=$F$15,(E$17*(VLOOKUP($H$2,Лист2!$A:$N,12,0)-(B31-1)*VLOOKUP($H$2,Лист2!$A:$N,13,0))),0)</f>
        <v>0</v>
      </c>
      <c r="F31" s="130">
        <f t="shared" si="2"/>
        <v>2863.9677887636099</v>
      </c>
      <c r="G31" s="146">
        <f t="shared" si="3"/>
        <v>3351.7470836482166</v>
      </c>
      <c r="H31" s="146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45991</v>
      </c>
      <c r="D32" s="129">
        <f t="shared" si="1"/>
        <v>516.22902225875134</v>
      </c>
      <c r="E32" s="140">
        <f>IF(B32&lt;=$F$15,(E$17*(VLOOKUP($H$2,Лист2!$A:$N,12,0)-(B32-1)*VLOOKUP($H$2,Лист2!$A:$N,13,0))),0)</f>
        <v>0</v>
      </c>
      <c r="F32" s="130">
        <f t="shared" si="2"/>
        <v>2835.5180613894654</v>
      </c>
      <c r="G32" s="146">
        <f t="shared" si="3"/>
        <v>3351.7470836482166</v>
      </c>
      <c r="H32" s="146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46021</v>
      </c>
      <c r="D33" s="129">
        <f t="shared" si="1"/>
        <v>546.33807998199279</v>
      </c>
      <c r="E33" s="140">
        <f>IF(B33&lt;=$F$15,(E$17*(VLOOKUP($H$2,Лист2!$A:$N,12,0)-(B33-1)*VLOOKUP($H$2,Лист2!$A:$N,13,0))),0)</f>
        <v>0</v>
      </c>
      <c r="F33" s="130">
        <f t="shared" si="2"/>
        <v>2805.4090036662233</v>
      </c>
      <c r="G33" s="146">
        <f t="shared" si="3"/>
        <v>3351.7470836482162</v>
      </c>
      <c r="H33" s="146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46052</v>
      </c>
      <c r="D34" s="129">
        <f t="shared" si="1"/>
        <v>578.20324849694271</v>
      </c>
      <c r="E34" s="140">
        <f>IF(B34&lt;=$F$15,(E$17*(VLOOKUP($H$2,Лист2!$A:$N,12,0)-(B34-1)*VLOOKUP($H$2,Лист2!$A:$N,13,0))),0)</f>
        <v>0</v>
      </c>
      <c r="F34" s="130">
        <f t="shared" si="2"/>
        <v>2773.5438351512739</v>
      </c>
      <c r="G34" s="146">
        <f t="shared" si="3"/>
        <v>3351.7470836482166</v>
      </c>
      <c r="H34" s="146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46083</v>
      </c>
      <c r="D35" s="129">
        <f t="shared" si="1"/>
        <v>611.92695296552677</v>
      </c>
      <c r="E35" s="140">
        <f>IF(B35&lt;=$F$15,(E$17*(VLOOKUP($H$2,Лист2!$A:$N,12,0)-(B35-1)*VLOOKUP($H$2,Лист2!$A:$N,13,0))),0)</f>
        <v>0</v>
      </c>
      <c r="F35" s="130">
        <f t="shared" si="2"/>
        <v>2739.8201306826895</v>
      </c>
      <c r="G35" s="146">
        <f t="shared" si="3"/>
        <v>3351.7470836482162</v>
      </c>
      <c r="H35" s="146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46114</v>
      </c>
      <c r="D36" s="129">
        <f t="shared" si="1"/>
        <v>647.61759249724105</v>
      </c>
      <c r="E36" s="140">
        <f>IF(B36&lt;=$F$15,(E$17*(VLOOKUP($H$2,Лист2!$A:$N,12,0)-(B36-1)*VLOOKUP($H$2,Лист2!$A:$N,13,0))),0)</f>
        <v>0</v>
      </c>
      <c r="F36" s="130">
        <f t="shared" si="2"/>
        <v>2704.1294911509754</v>
      </c>
      <c r="G36" s="146">
        <f t="shared" si="3"/>
        <v>3351.7470836482162</v>
      </c>
      <c r="H36" s="146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46144</v>
      </c>
      <c r="D37" s="129">
        <f t="shared" si="1"/>
        <v>685.38988857964273</v>
      </c>
      <c r="E37" s="140">
        <f>IF(B37&lt;=$F$15,(E$17*(VLOOKUP($H$2,Лист2!$A:$N,12,0)-(B37-1)*VLOOKUP($H$2,Лист2!$A:$N,13,0))),0)</f>
        <v>0</v>
      </c>
      <c r="F37" s="130">
        <f t="shared" si="2"/>
        <v>2666.3571950685737</v>
      </c>
      <c r="G37" s="146">
        <f t="shared" si="3"/>
        <v>3351.7470836482162</v>
      </c>
      <c r="H37" s="146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46175</v>
      </c>
      <c r="D38" s="129">
        <f t="shared" si="1"/>
        <v>725.3652538310505</v>
      </c>
      <c r="E38" s="140">
        <f>IF(B38&lt;=$F$15,(E$17*(VLOOKUP($H$2,Лист2!$A:$N,12,0)-(B38-1)*VLOOKUP($H$2,Лист2!$A:$N,13,0))),0)</f>
        <v>0</v>
      </c>
      <c r="F38" s="130">
        <f t="shared" si="2"/>
        <v>2626.3818298171659</v>
      </c>
      <c r="G38" s="146">
        <f t="shared" si="3"/>
        <v>3351.7470836482162</v>
      </c>
      <c r="H38" s="146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46205</v>
      </c>
      <c r="D39" s="129">
        <f t="shared" si="1"/>
        <v>767.67218226074647</v>
      </c>
      <c r="E39" s="140">
        <f>IF(B39&lt;=$F$15,(E$17*(VLOOKUP($H$2,Лист2!$A:$N,12,0)-(B39-1)*VLOOKUP($H$2,Лист2!$A:$N,13,0))),0)</f>
        <v>0</v>
      </c>
      <c r="F39" s="130">
        <f t="shared" si="2"/>
        <v>2584.0749013874697</v>
      </c>
      <c r="G39" s="146">
        <f t="shared" si="3"/>
        <v>3351.7470836482162</v>
      </c>
      <c r="H39" s="146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46236</v>
      </c>
      <c r="D40" s="129">
        <f t="shared" si="1"/>
        <v>812.44666229110442</v>
      </c>
      <c r="E40" s="140">
        <f>IF(B40&lt;=$F$15,(E$17*(VLOOKUP($H$2,Лист2!$A:$N,12,0)-(B40-1)*VLOOKUP($H$2,Лист2!$A:$N,13,0))),0)</f>
        <v>0</v>
      </c>
      <c r="F40" s="130">
        <f t="shared" si="2"/>
        <v>2539.3004213571116</v>
      </c>
      <c r="G40" s="146">
        <f t="shared" si="3"/>
        <v>3351.7470836482162</v>
      </c>
      <c r="H40" s="146"/>
      <c r="I40" s="3"/>
    </row>
    <row r="41" spans="1:11" x14ac:dyDescent="0.2">
      <c r="A41" s="1">
        <v>13</v>
      </c>
      <c r="B41" s="101">
        <v>13</v>
      </c>
      <c r="C41" s="138">
        <f t="shared" ca="1" si="0"/>
        <v>46267</v>
      </c>
      <c r="D41" s="129">
        <f t="shared" si="1"/>
        <v>859.83261386923311</v>
      </c>
      <c r="E41" s="140">
        <f>IF(B41&lt;=$F$15,(E$17*(VLOOKUP($H$2,Лист2!$A:$N,12,0)-(B41-1)*VLOOKUP($H$2,Лист2!$A:$N,13,0))),0)</f>
        <v>0</v>
      </c>
      <c r="F41" s="130">
        <f t="shared" si="2"/>
        <v>2491.9144697789834</v>
      </c>
      <c r="G41" s="146">
        <f t="shared" si="3"/>
        <v>3351.7470836482166</v>
      </c>
      <c r="H41" s="146"/>
      <c r="I41" s="3"/>
    </row>
    <row r="42" spans="1:11" x14ac:dyDescent="0.2">
      <c r="A42" s="1">
        <v>14</v>
      </c>
      <c r="B42" s="101">
        <v>14</v>
      </c>
      <c r="C42" s="138">
        <f t="shared" ca="1" si="0"/>
        <v>46297</v>
      </c>
      <c r="D42" s="129">
        <f t="shared" si="1"/>
        <v>909.982351073156</v>
      </c>
      <c r="E42" s="140">
        <f>IF(B42&lt;=$F$15,(E$17*(VLOOKUP($H$2,Лист2!$A:$N,12,0)-(B42-1)*VLOOKUP($H$2,Лист2!$A:$N,13,0))),0)</f>
        <v>0</v>
      </c>
      <c r="F42" s="130">
        <f t="shared" si="2"/>
        <v>2441.7647325750604</v>
      </c>
      <c r="G42" s="146">
        <f t="shared" si="3"/>
        <v>3351.7470836482162</v>
      </c>
      <c r="H42" s="146"/>
      <c r="I42" s="3"/>
    </row>
    <row r="43" spans="1:11" x14ac:dyDescent="0.2">
      <c r="A43" s="1">
        <v>15</v>
      </c>
      <c r="B43" s="101">
        <v>15</v>
      </c>
      <c r="C43" s="138">
        <f t="shared" ca="1" si="0"/>
        <v>46328</v>
      </c>
      <c r="D43" s="129">
        <f t="shared" si="1"/>
        <v>963.05707169949812</v>
      </c>
      <c r="E43" s="140">
        <f>IF(B43&lt;=$F$15,(E$17*(VLOOKUP($H$2,Лист2!$A:$N,12,0)-(B43-1)*VLOOKUP($H$2,Лист2!$A:$N,13,0))),0)</f>
        <v>0</v>
      </c>
      <c r="F43" s="130">
        <f t="shared" si="2"/>
        <v>2388.6900119487182</v>
      </c>
      <c r="G43" s="146">
        <f t="shared" si="3"/>
        <v>3351.7470836482162</v>
      </c>
      <c r="H43" s="146"/>
      <c r="I43" s="3"/>
    </row>
    <row r="44" spans="1:11" x14ac:dyDescent="0.2">
      <c r="A44" s="1">
        <v>16</v>
      </c>
      <c r="B44" s="101">
        <v>16</v>
      </c>
      <c r="C44" s="138">
        <f t="shared" ca="1" si="0"/>
        <v>46358</v>
      </c>
      <c r="D44" s="129">
        <f t="shared" si="1"/>
        <v>1019.2273754063714</v>
      </c>
      <c r="E44" s="140">
        <f>IF(B44&lt;=$F$15,(E$17*(VLOOKUP($H$2,Лист2!$A:$N,12,0)-(B44-1)*VLOOKUP($H$2,Лист2!$A:$N,13,0))),0)</f>
        <v>0</v>
      </c>
      <c r="F44" s="130">
        <f t="shared" si="2"/>
        <v>2332.5197082418449</v>
      </c>
      <c r="G44" s="146">
        <f t="shared" si="3"/>
        <v>3351.7470836482162</v>
      </c>
      <c r="H44" s="146"/>
      <c r="I44" s="3"/>
    </row>
    <row r="45" spans="1:11" x14ac:dyDescent="0.2">
      <c r="A45" s="1">
        <v>22</v>
      </c>
      <c r="B45" s="101">
        <v>17</v>
      </c>
      <c r="C45" s="138">
        <f t="shared" ca="1" si="0"/>
        <v>46389</v>
      </c>
      <c r="D45" s="129">
        <f t="shared" si="1"/>
        <v>1078.673812076948</v>
      </c>
      <c r="E45" s="140">
        <f>IF(B45&lt;=$F$15,(E$17*(VLOOKUP($H$2,Лист2!$A:$N,12,0)-(B45-1)*VLOOKUP($H$2,Лист2!$A:$N,13,0))),0)</f>
        <v>0</v>
      </c>
      <c r="F45" s="130">
        <f t="shared" si="2"/>
        <v>2273.0732715712684</v>
      </c>
      <c r="G45" s="146">
        <f t="shared" si="3"/>
        <v>3351.7470836482162</v>
      </c>
      <c r="H45" s="146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46420</v>
      </c>
      <c r="D46" s="129">
        <f t="shared" si="1"/>
        <v>1141.5874621663356</v>
      </c>
      <c r="E46" s="140">
        <f>IF(B46&lt;=$F$15,(E$17*(VLOOKUP($H$2,Лист2!$A:$N,12,0)-(B46-1)*VLOOKUP($H$2,Лист2!$A:$N,13,0))),0)</f>
        <v>0</v>
      </c>
      <c r="F46" s="130">
        <f t="shared" si="2"/>
        <v>2210.1596214818805</v>
      </c>
      <c r="G46" s="146">
        <f t="shared" si="3"/>
        <v>3351.7470836482162</v>
      </c>
      <c r="H46" s="146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46448</v>
      </c>
      <c r="D47" s="129">
        <f t="shared" si="1"/>
        <v>1208.1705508971872</v>
      </c>
      <c r="E47" s="140">
        <f>IF(B47&lt;=$F$15,(E$17*(VLOOKUP($H$2,Лист2!$A:$N,12,0)-(B47-1)*VLOOKUP($H$2,Лист2!$A:$N,13,0))),0)</f>
        <v>0</v>
      </c>
      <c r="F47" s="130">
        <f t="shared" si="2"/>
        <v>2143.5765327510294</v>
      </c>
      <c r="G47" s="146">
        <f t="shared" si="3"/>
        <v>3351.7470836482166</v>
      </c>
      <c r="H47" s="146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46479</v>
      </c>
      <c r="D48" s="129">
        <f t="shared" si="1"/>
        <v>1278.6370982782657</v>
      </c>
      <c r="E48" s="140">
        <f>IF(B48&lt;=$F$15,(E$17*(VLOOKUP($H$2,Лист2!$A:$N,12,0)-(B48-1)*VLOOKUP($H$2,Лист2!$A:$N,13,0))),0)</f>
        <v>0</v>
      </c>
      <c r="F48" s="130">
        <f t="shared" si="2"/>
        <v>2073.1099853699507</v>
      </c>
      <c r="G48" s="146">
        <f t="shared" si="3"/>
        <v>3351.7470836482162</v>
      </c>
      <c r="H48" s="146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46509</v>
      </c>
      <c r="D49" s="129">
        <f t="shared" si="1"/>
        <v>1353.2136070353456</v>
      </c>
      <c r="E49" s="140">
        <f>IF(B49&lt;=$F$15,(E$17*(VLOOKUP($H$2,Лист2!$A:$N,12,0)-(B49-1)*VLOOKUP($H$2,Лист2!$A:$N,13,0))),0)</f>
        <v>0</v>
      </c>
      <c r="F49" s="130">
        <f t="shared" si="2"/>
        <v>1998.5334766128706</v>
      </c>
      <c r="G49" s="146">
        <f t="shared" si="3"/>
        <v>3351.7470836482162</v>
      </c>
      <c r="H49" s="146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46540</v>
      </c>
      <c r="D50" s="129">
        <f t="shared" si="1"/>
        <v>1432.1397906656821</v>
      </c>
      <c r="E50" s="140">
        <f>IF(B50&lt;=$F$15,(E$17*(VLOOKUP($H$2,Лист2!$A:$N,12,0)-(B50-1)*VLOOKUP($H$2,Лист2!$A:$N,13,0))),0)</f>
        <v>0</v>
      </c>
      <c r="F50" s="130">
        <f t="shared" si="2"/>
        <v>1919.6072929825343</v>
      </c>
      <c r="G50" s="146">
        <f t="shared" si="3"/>
        <v>3351.7470836482162</v>
      </c>
      <c r="H50" s="146"/>
      <c r="I50" s="3"/>
    </row>
    <row r="51" spans="1:11" x14ac:dyDescent="0.2">
      <c r="A51" s="49">
        <v>25</v>
      </c>
      <c r="B51" s="101">
        <v>23</v>
      </c>
      <c r="C51" s="138">
        <f t="shared" ca="1" si="0"/>
        <v>46570</v>
      </c>
      <c r="D51" s="129">
        <f t="shared" si="1"/>
        <v>1515.6693439562582</v>
      </c>
      <c r="E51" s="140">
        <f>IF(B51&lt;=$F$15,(E$17*(VLOOKUP($H$2,Лист2!$A:$N,12,0)-(B51-1)*VLOOKUP($H$2,Лист2!$A:$N,13,0))),0)</f>
        <v>0</v>
      </c>
      <c r="F51" s="130">
        <f t="shared" si="2"/>
        <v>1836.0777396919582</v>
      </c>
      <c r="G51" s="146">
        <f t="shared" si="3"/>
        <v>3351.7470836482162</v>
      </c>
      <c r="H51" s="146"/>
      <c r="I51" s="3"/>
    </row>
    <row r="52" spans="1:11" x14ac:dyDescent="0.2">
      <c r="A52" s="49"/>
      <c r="B52" s="101">
        <v>24</v>
      </c>
      <c r="C52" s="138">
        <f t="shared" ca="1" si="0"/>
        <v>46601</v>
      </c>
      <c r="D52" s="129">
        <f t="shared" si="1"/>
        <v>1604.0707584425068</v>
      </c>
      <c r="E52" s="140">
        <f>IF(B52&lt;=$F$15,(E$17*(VLOOKUP($H$2,Лист2!$A:$N,12,0)-(B52-1)*VLOOKUP($H$2,Лист2!$A:$N,13,0))),0)</f>
        <v>0</v>
      </c>
      <c r="F52" s="130">
        <f t="shared" si="2"/>
        <v>1747.6763252057096</v>
      </c>
      <c r="G52" s="146">
        <f t="shared" si="3"/>
        <v>3351.7470836482162</v>
      </c>
      <c r="H52" s="146"/>
      <c r="I52" s="3"/>
    </row>
    <row r="53" spans="1:11" x14ac:dyDescent="0.2">
      <c r="A53" s="49"/>
      <c r="B53" s="101">
        <v>25</v>
      </c>
      <c r="C53" s="138">
        <f t="shared" ca="1" si="0"/>
        <v>46632</v>
      </c>
      <c r="D53" s="129">
        <f t="shared" si="1"/>
        <v>1697.628185428666</v>
      </c>
      <c r="E53" s="140">
        <f>IF(B53&lt;=$F$15,(E$17*(VLOOKUP($H$2,Лист2!$A:$N,12,0)-(B53-1)*VLOOKUP($H$2,Лист2!$A:$N,13,0))),0)</f>
        <v>0</v>
      </c>
      <c r="F53" s="130">
        <f t="shared" si="2"/>
        <v>1654.1188982195504</v>
      </c>
      <c r="G53" s="146">
        <f t="shared" si="3"/>
        <v>3351.7470836482162</v>
      </c>
      <c r="H53" s="146"/>
      <c r="I53" s="3"/>
    </row>
    <row r="54" spans="1:11" x14ac:dyDescent="0.2">
      <c r="A54" s="49"/>
      <c r="B54" s="101">
        <v>26</v>
      </c>
      <c r="C54" s="138">
        <f t="shared" ca="1" si="0"/>
        <v>46662</v>
      </c>
      <c r="D54" s="129">
        <f t="shared" si="1"/>
        <v>1796.6423493437931</v>
      </c>
      <c r="E54" s="140">
        <f>IF(B54&lt;=$F$15,(E$17*(VLOOKUP($H$2,Лист2!$A:$N,12,0)-(B54-1)*VLOOKUP($H$2,Лист2!$A:$N,13,0))),0)</f>
        <v>0</v>
      </c>
      <c r="F54" s="130">
        <f t="shared" si="2"/>
        <v>1555.1047343044231</v>
      </c>
      <c r="G54" s="146">
        <f t="shared" si="3"/>
        <v>3351.7470836482162</v>
      </c>
      <c r="H54" s="146"/>
      <c r="I54" s="3"/>
    </row>
    <row r="55" spans="1:11" x14ac:dyDescent="0.2">
      <c r="A55" s="49"/>
      <c r="B55" s="101">
        <v>27</v>
      </c>
      <c r="C55" s="138">
        <f t="shared" ca="1" si="0"/>
        <v>46693</v>
      </c>
      <c r="D55" s="129">
        <f t="shared" si="1"/>
        <v>1901.4315143692697</v>
      </c>
      <c r="E55" s="140">
        <f>IF(B55&lt;=$F$15,(E$17*(VLOOKUP($H$2,Лист2!$A:$N,12,0)-(B55-1)*VLOOKUP($H$2,Лист2!$A:$N,13,0))),0)</f>
        <v>0</v>
      </c>
      <c r="F55" s="130">
        <f t="shared" si="2"/>
        <v>1450.3155692789469</v>
      </c>
      <c r="G55" s="146">
        <f t="shared" si="3"/>
        <v>3351.7470836482166</v>
      </c>
      <c r="H55" s="146"/>
      <c r="I55" s="3"/>
    </row>
    <row r="56" spans="1:11" x14ac:dyDescent="0.2">
      <c r="A56" s="49"/>
      <c r="B56" s="101">
        <v>28</v>
      </c>
      <c r="C56" s="138">
        <f t="shared" ca="1" si="0"/>
        <v>46723</v>
      </c>
      <c r="D56" s="129">
        <f t="shared" si="1"/>
        <v>2012.3325074448574</v>
      </c>
      <c r="E56" s="140">
        <f>IF(B56&lt;=$F$15,(E$17*(VLOOKUP($H$2,Лист2!$A:$N,12,0)-(B56-1)*VLOOKUP($H$2,Лист2!$A:$N,13,0))),0)</f>
        <v>0</v>
      </c>
      <c r="F56" s="130">
        <f t="shared" si="2"/>
        <v>1339.4145762033593</v>
      </c>
      <c r="G56" s="146">
        <f t="shared" si="3"/>
        <v>3351.7470836482166</v>
      </c>
      <c r="H56" s="146"/>
      <c r="I56" s="3"/>
    </row>
    <row r="57" spans="1:11" x14ac:dyDescent="0.2">
      <c r="A57" s="49"/>
      <c r="B57" s="101">
        <v>29</v>
      </c>
      <c r="C57" s="138">
        <f t="shared" ca="1" si="0"/>
        <v>46754</v>
      </c>
      <c r="D57" s="129">
        <f t="shared" si="1"/>
        <v>2129.7018009415788</v>
      </c>
      <c r="E57" s="140">
        <f>IF(B57&lt;=$F$15,(E$17*(VLOOKUP($H$2,Лист2!$A:$N,12,0)-(B57-1)*VLOOKUP($H$2,Лист2!$A:$N,13,0))),0)</f>
        <v>0</v>
      </c>
      <c r="F57" s="130">
        <f t="shared" si="2"/>
        <v>1222.0452827066376</v>
      </c>
      <c r="G57" s="146">
        <f t="shared" si="3"/>
        <v>3351.7470836482162</v>
      </c>
      <c r="H57" s="146"/>
      <c r="I57" s="3"/>
    </row>
    <row r="58" spans="1:11" x14ac:dyDescent="0.2">
      <c r="A58" s="49">
        <v>25</v>
      </c>
      <c r="B58" s="101">
        <v>30</v>
      </c>
      <c r="C58" s="138">
        <f t="shared" ca="1" si="0"/>
        <v>46785</v>
      </c>
      <c r="D58" s="129">
        <f t="shared" si="1"/>
        <v>2253.9166584814957</v>
      </c>
      <c r="E58" s="140">
        <f>IF(B58&lt;=$F$15,(E$17*(VLOOKUP($H$2,Лист2!$A:$N,12,0)-(B58-1)*VLOOKUP($H$2,Лист2!$A:$N,13,0))),0)</f>
        <v>0</v>
      </c>
      <c r="F58" s="130">
        <f t="shared" si="2"/>
        <v>1097.83042516672</v>
      </c>
      <c r="G58" s="146">
        <f t="shared" si="3"/>
        <v>3351.7470836482157</v>
      </c>
      <c r="H58" s="146"/>
      <c r="I58" s="106"/>
      <c r="J58" s="106"/>
    </row>
    <row r="59" spans="1:11" x14ac:dyDescent="0.2">
      <c r="A59" s="49"/>
      <c r="B59" s="101">
        <v>31</v>
      </c>
      <c r="C59" s="138">
        <f t="shared" ca="1" si="0"/>
        <v>46814</v>
      </c>
      <c r="D59" s="129">
        <f t="shared" si="1"/>
        <v>2385.3763475874293</v>
      </c>
      <c r="E59" s="140">
        <f>IF(B59&lt;=$F$15,(E$17*(VLOOKUP($H$2,Лист2!$A:$N,12,0)-(B59-1)*VLOOKUP($H$2,Лист2!$A:$N,13,0))),0)</f>
        <v>0</v>
      </c>
      <c r="F59" s="130">
        <f t="shared" si="2"/>
        <v>966.37073606078695</v>
      </c>
      <c r="G59" s="146">
        <f t="shared" si="3"/>
        <v>3351.7470836482162</v>
      </c>
      <c r="H59" s="146"/>
      <c r="I59" s="106"/>
      <c r="J59" s="106"/>
    </row>
    <row r="60" spans="1:11" x14ac:dyDescent="0.2">
      <c r="A60" s="49"/>
      <c r="B60" s="101">
        <v>32</v>
      </c>
      <c r="C60" s="138">
        <f t="shared" ca="1" si="0"/>
        <v>46845</v>
      </c>
      <c r="D60" s="129">
        <f t="shared" si="1"/>
        <v>2524.5034230604665</v>
      </c>
      <c r="E60" s="140">
        <f>IF(B60&lt;=$F$15,(E$17*(VLOOKUP($H$2,Лист2!$A:$N,12,0)-(B60-1)*VLOOKUP($H$2,Лист2!$A:$N,13,0))),0)</f>
        <v>0</v>
      </c>
      <c r="F60" s="130">
        <f t="shared" si="2"/>
        <v>827.24366058775024</v>
      </c>
      <c r="G60" s="146">
        <f t="shared" si="3"/>
        <v>3351.7470836482166</v>
      </c>
      <c r="H60" s="146"/>
      <c r="I60" s="106"/>
      <c r="J60" s="106"/>
    </row>
    <row r="61" spans="1:11" x14ac:dyDescent="0.2">
      <c r="A61" s="49"/>
      <c r="B61" s="101">
        <v>33</v>
      </c>
      <c r="C61" s="138">
        <f t="shared" ca="1" si="0"/>
        <v>46875</v>
      </c>
      <c r="D61" s="129">
        <f t="shared" si="1"/>
        <v>2671.745085210468</v>
      </c>
      <c r="E61" s="140">
        <f>IF(B61&lt;=$F$15,(E$17*(VLOOKUP($H$2,Лист2!$A:$N,12,0)-(B61-1)*VLOOKUP($H$2,Лист2!$A:$N,13,0))),0)</f>
        <v>0</v>
      </c>
      <c r="F61" s="130">
        <f t="shared" si="2"/>
        <v>680.00199843774851</v>
      </c>
      <c r="G61" s="146">
        <f t="shared" si="3"/>
        <v>3351.7470836482166</v>
      </c>
      <c r="H61" s="146"/>
      <c r="I61" s="106"/>
      <c r="J61" s="106"/>
    </row>
    <row r="62" spans="1:11" x14ac:dyDescent="0.2">
      <c r="A62" s="49"/>
      <c r="B62" s="101">
        <v>34</v>
      </c>
      <c r="C62" s="138">
        <f t="shared" ca="1" si="0"/>
        <v>46906</v>
      </c>
      <c r="D62" s="129">
        <f t="shared" si="1"/>
        <v>2827.5746173053685</v>
      </c>
      <c r="E62" s="140">
        <f>IF(B62&lt;=$F$15,(E$17*(VLOOKUP($H$2,Лист2!$A:$N,12,0)-(B62-1)*VLOOKUP($H$2,Лист2!$A:$N,13,0))),0)</f>
        <v>0</v>
      </c>
      <c r="F62" s="130">
        <f t="shared" si="2"/>
        <v>524.172466342848</v>
      </c>
      <c r="G62" s="146">
        <f t="shared" si="3"/>
        <v>3351.7470836482166</v>
      </c>
      <c r="H62" s="146"/>
      <c r="I62" s="106"/>
      <c r="J62" s="106"/>
    </row>
    <row r="63" spans="1:11" x14ac:dyDescent="0.2">
      <c r="A63" s="49"/>
      <c r="B63" s="101">
        <v>35</v>
      </c>
      <c r="C63" s="138">
        <f t="shared" ca="1" si="0"/>
        <v>46936</v>
      </c>
      <c r="D63" s="129">
        <f t="shared" si="1"/>
        <v>2992.4929068597035</v>
      </c>
      <c r="E63" s="140">
        <f>IF(B63&lt;=$F$15,(E$17*(VLOOKUP($H$2,Лист2!$A:$N,12,0)-(B63-1)*VLOOKUP($H$2,Лист2!$A:$N,13,0))),0)</f>
        <v>0</v>
      </c>
      <c r="F63" s="130">
        <f t="shared" si="2"/>
        <v>359.25417678851232</v>
      </c>
      <c r="G63" s="146">
        <f t="shared" si="3"/>
        <v>3351.7470836482157</v>
      </c>
      <c r="H63" s="146"/>
      <c r="I63" s="106"/>
      <c r="J63" s="106"/>
    </row>
    <row r="64" spans="1:11" x14ac:dyDescent="0.2">
      <c r="A64" s="49"/>
      <c r="B64" s="101">
        <v>36</v>
      </c>
      <c r="C64" s="138">
        <f t="shared" ca="1" si="0"/>
        <v>46967</v>
      </c>
      <c r="D64" s="129">
        <f t="shared" si="1"/>
        <v>3167.0300556522961</v>
      </c>
      <c r="E64" s="140">
        <f>IF(B64&lt;=$F$15,(E$17*(VLOOKUP($H$2,Лист2!$A:$N,12,0)-(B64-1)*VLOOKUP($H$2,Лист2!$A:$N,13,0))),0)</f>
        <v>0</v>
      </c>
      <c r="F64" s="130">
        <f t="shared" si="2"/>
        <v>184.71702799592015</v>
      </c>
      <c r="G64" s="146">
        <f t="shared" si="3"/>
        <v>3351.7470836482162</v>
      </c>
      <c r="H64" s="146"/>
      <c r="I64" s="106"/>
      <c r="J64" s="106"/>
    </row>
    <row r="65" spans="1:10" x14ac:dyDescent="0.2">
      <c r="A65" s="49"/>
      <c r="B65" s="101">
        <v>37</v>
      </c>
      <c r="C65" s="104">
        <f t="shared" ca="1" si="0"/>
        <v>46998</v>
      </c>
      <c r="D65" s="129">
        <f t="shared" si="1"/>
        <v>0</v>
      </c>
      <c r="E65" s="130">
        <f>IF(B65&lt;=$F$15,(E$17*(VLOOKUP($H$2,Лист2!$A:$N,12,0)-(B65-1)*VLOOKUP($H$2,Лист2!$A:$N,13,0))),0)</f>
        <v>0</v>
      </c>
      <c r="F65" s="130">
        <f t="shared" si="2"/>
        <v>0</v>
      </c>
      <c r="G65" s="146">
        <f t="shared" si="3"/>
        <v>0</v>
      </c>
      <c r="H65" s="146"/>
      <c r="I65" s="106"/>
      <c r="J65" s="106"/>
    </row>
    <row r="66" spans="1:10" x14ac:dyDescent="0.2">
      <c r="A66" s="49"/>
      <c r="B66" s="101">
        <v>38</v>
      </c>
      <c r="C66" s="104">
        <f t="shared" ca="1" si="0"/>
        <v>47028</v>
      </c>
      <c r="D66" s="129">
        <f t="shared" si="1"/>
        <v>0</v>
      </c>
      <c r="E66" s="130">
        <f>IF(B66&lt;=$F$15,(E$17*(VLOOKUP($H$2,Лист2!$A:$N,12,0)-(B66-1)*VLOOKUP($H$2,Лист2!$A:$N,13,0))),0)</f>
        <v>0</v>
      </c>
      <c r="F66" s="130">
        <f t="shared" si="2"/>
        <v>0</v>
      </c>
      <c r="G66" s="146">
        <f t="shared" si="3"/>
        <v>0</v>
      </c>
      <c r="H66" s="146"/>
      <c r="I66" s="106"/>
      <c r="J66" s="106"/>
    </row>
    <row r="67" spans="1:10" x14ac:dyDescent="0.2">
      <c r="A67" s="49"/>
      <c r="B67" s="101">
        <v>39</v>
      </c>
      <c r="C67" s="104">
        <f t="shared" ca="1" si="0"/>
        <v>47059</v>
      </c>
      <c r="D67" s="129">
        <f t="shared" si="1"/>
        <v>0</v>
      </c>
      <c r="E67" s="130">
        <f>IF(B67&lt;=$F$15,(E$17*(VLOOKUP($H$2,Лист2!$A:$N,12,0)-(B67-1)*VLOOKUP($H$2,Лист2!$A:$N,13,0))),0)</f>
        <v>0</v>
      </c>
      <c r="F67" s="130">
        <f t="shared" si="2"/>
        <v>0</v>
      </c>
      <c r="G67" s="146">
        <f t="shared" si="3"/>
        <v>0</v>
      </c>
      <c r="H67" s="146"/>
      <c r="I67" s="106"/>
      <c r="J67" s="106"/>
    </row>
    <row r="68" spans="1:10" x14ac:dyDescent="0.2">
      <c r="A68" s="49"/>
      <c r="B68" s="101">
        <v>40</v>
      </c>
      <c r="C68" s="104">
        <f t="shared" ca="1" si="0"/>
        <v>47089</v>
      </c>
      <c r="D68" s="129">
        <f t="shared" si="1"/>
        <v>0</v>
      </c>
      <c r="E68" s="130">
        <f>IF(B68&lt;=$F$15,(E$17*(VLOOKUP($H$2,Лист2!$A:$N,12,0)-(B68-1)*VLOOKUP($H$2,Лист2!$A:$N,13,0))),0)</f>
        <v>0</v>
      </c>
      <c r="F68" s="130">
        <f t="shared" si="2"/>
        <v>0</v>
      </c>
      <c r="G68" s="146">
        <f t="shared" si="3"/>
        <v>0</v>
      </c>
      <c r="H68" s="146"/>
      <c r="I68" s="106"/>
      <c r="J68" s="106"/>
    </row>
    <row r="69" spans="1:10" x14ac:dyDescent="0.2">
      <c r="A69" s="49"/>
      <c r="B69" s="101">
        <v>41</v>
      </c>
      <c r="C69" s="104">
        <f t="shared" ca="1" si="0"/>
        <v>47120</v>
      </c>
      <c r="D69" s="129">
        <f t="shared" si="1"/>
        <v>0</v>
      </c>
      <c r="E69" s="130">
        <f>IF(B69&lt;=$F$15,(E$17*(VLOOKUP($H$2,Лист2!$A:$N,12,0)-(B69-1)*VLOOKUP($H$2,Лист2!$A:$N,13,0))),0)</f>
        <v>0</v>
      </c>
      <c r="F69" s="130">
        <f t="shared" si="2"/>
        <v>0</v>
      </c>
      <c r="G69" s="146">
        <f t="shared" si="3"/>
        <v>0</v>
      </c>
      <c r="H69" s="146"/>
      <c r="I69" s="106"/>
      <c r="J69" s="106"/>
    </row>
    <row r="70" spans="1:10" x14ac:dyDescent="0.2">
      <c r="A70" s="49"/>
      <c r="B70" s="101">
        <v>42</v>
      </c>
      <c r="C70" s="104">
        <f t="shared" ca="1" si="0"/>
        <v>47151</v>
      </c>
      <c r="D70" s="129">
        <f t="shared" si="1"/>
        <v>0</v>
      </c>
      <c r="E70" s="130">
        <f>IF(B70&lt;=$F$15,(E$17*(VLOOKUP($H$2,Лист2!$A:$N,12,0)-(B70-1)*VLOOKUP($H$2,Лист2!$A:$N,13,0))),0)</f>
        <v>0</v>
      </c>
      <c r="F70" s="130">
        <f t="shared" si="2"/>
        <v>0</v>
      </c>
      <c r="G70" s="146">
        <f t="shared" si="3"/>
        <v>0</v>
      </c>
      <c r="H70" s="146"/>
      <c r="I70" s="106"/>
      <c r="J70" s="106"/>
    </row>
    <row r="71" spans="1:10" x14ac:dyDescent="0.2">
      <c r="A71" s="49"/>
      <c r="B71" s="101">
        <v>43</v>
      </c>
      <c r="C71" s="104">
        <f t="shared" ca="1" si="0"/>
        <v>47179</v>
      </c>
      <c r="D71" s="129">
        <f t="shared" si="1"/>
        <v>0</v>
      </c>
      <c r="E71" s="130">
        <f>IF(B71&lt;=$F$15,(E$17*(VLOOKUP($H$2,Лист2!$A:$N,12,0)-(B71-1)*VLOOKUP($H$2,Лист2!$A:$N,13,0))),0)</f>
        <v>0</v>
      </c>
      <c r="F71" s="130">
        <f t="shared" si="2"/>
        <v>0</v>
      </c>
      <c r="G71" s="146">
        <f t="shared" si="3"/>
        <v>0</v>
      </c>
      <c r="H71" s="146"/>
      <c r="I71" s="106"/>
      <c r="J71" s="106"/>
    </row>
    <row r="72" spans="1:10" x14ac:dyDescent="0.2">
      <c r="A72" s="49"/>
      <c r="B72" s="101">
        <v>44</v>
      </c>
      <c r="C72" s="104">
        <f t="shared" ca="1" si="0"/>
        <v>47210</v>
      </c>
      <c r="D72" s="129">
        <f t="shared" si="1"/>
        <v>0</v>
      </c>
      <c r="E72" s="130">
        <f>IF(B72&lt;=$F$15,(E$17*(VLOOKUP($H$2,Лист2!$A:$N,12,0)-(B72-1)*VLOOKUP($H$2,Лист2!$A:$N,13,0))),0)</f>
        <v>0</v>
      </c>
      <c r="F72" s="130">
        <f t="shared" si="2"/>
        <v>0</v>
      </c>
      <c r="G72" s="146">
        <f t="shared" si="3"/>
        <v>0</v>
      </c>
      <c r="H72" s="146"/>
      <c r="I72" s="106"/>
      <c r="J72" s="106"/>
    </row>
    <row r="73" spans="1:10" x14ac:dyDescent="0.2">
      <c r="A73" s="49"/>
      <c r="B73" s="101">
        <v>45</v>
      </c>
      <c r="C73" s="104">
        <f t="shared" ca="1" si="0"/>
        <v>47240</v>
      </c>
      <c r="D73" s="129">
        <f t="shared" si="1"/>
        <v>0</v>
      </c>
      <c r="E73" s="130">
        <f>IF(B73&lt;=$F$15,(E$17*(VLOOKUP($H$2,Лист2!$A:$N,12,0)-(B73-1)*VLOOKUP($H$2,Лист2!$A:$N,13,0))),0)</f>
        <v>0</v>
      </c>
      <c r="F73" s="130">
        <f t="shared" si="2"/>
        <v>0</v>
      </c>
      <c r="G73" s="146">
        <f t="shared" si="3"/>
        <v>0</v>
      </c>
      <c r="H73" s="146"/>
      <c r="I73" s="106"/>
      <c r="J73" s="106"/>
    </row>
    <row r="74" spans="1:10" x14ac:dyDescent="0.2">
      <c r="A74" s="49"/>
      <c r="B74" s="101">
        <v>46</v>
      </c>
      <c r="C74" s="104">
        <f t="shared" ca="1" si="0"/>
        <v>47271</v>
      </c>
      <c r="D74" s="129">
        <f t="shared" si="1"/>
        <v>0</v>
      </c>
      <c r="E74" s="130">
        <f>IF(B74&lt;=$F$15,(E$17*(VLOOKUP($H$2,Лист2!$A:$N,12,0)-(B74-1)*VLOOKUP($H$2,Лист2!$A:$N,13,0))),0)</f>
        <v>0</v>
      </c>
      <c r="F74" s="130">
        <f t="shared" si="2"/>
        <v>0</v>
      </c>
      <c r="G74" s="146">
        <f t="shared" si="3"/>
        <v>0</v>
      </c>
      <c r="H74" s="146"/>
      <c r="I74" s="106"/>
      <c r="J74" s="106"/>
    </row>
    <row r="75" spans="1:10" x14ac:dyDescent="0.2">
      <c r="A75" s="49"/>
      <c r="B75" s="101">
        <v>47</v>
      </c>
      <c r="C75" s="104">
        <f t="shared" ca="1" si="0"/>
        <v>47301</v>
      </c>
      <c r="D75" s="129">
        <f t="shared" si="1"/>
        <v>0</v>
      </c>
      <c r="E75" s="130">
        <f>IF(B75&lt;=$F$15,(E$17*(VLOOKUP($H$2,Лист2!$A:$N,12,0)-(B75-1)*VLOOKUP($H$2,Лист2!$A:$N,13,0))),0)</f>
        <v>0</v>
      </c>
      <c r="F75" s="130">
        <f t="shared" si="2"/>
        <v>0</v>
      </c>
      <c r="G75" s="146">
        <f t="shared" si="3"/>
        <v>0</v>
      </c>
      <c r="H75" s="146"/>
      <c r="I75" s="106"/>
      <c r="J75" s="106"/>
    </row>
    <row r="76" spans="1:10" x14ac:dyDescent="0.2">
      <c r="A76" s="49"/>
      <c r="B76" s="101">
        <v>48</v>
      </c>
      <c r="C76" s="104">
        <f t="shared" ca="1" si="0"/>
        <v>47332</v>
      </c>
      <c r="D76" s="129">
        <f t="shared" si="1"/>
        <v>0</v>
      </c>
      <c r="E76" s="130">
        <f>IF(B76&lt;=$F$15,(E$17*(VLOOKUP($H$2,Лист2!$A:$N,12,0)-(B76-1)*VLOOKUP($H$2,Лист2!$A:$N,13,0))),0)</f>
        <v>0</v>
      </c>
      <c r="F76" s="130">
        <f t="shared" si="2"/>
        <v>0</v>
      </c>
      <c r="G76" s="146">
        <f t="shared" si="3"/>
        <v>0</v>
      </c>
      <c r="H76" s="146"/>
      <c r="I76" s="106"/>
      <c r="J76" s="106"/>
    </row>
    <row r="77" spans="1:10" x14ac:dyDescent="0.2">
      <c r="A77" s="49"/>
      <c r="B77" s="101">
        <v>49</v>
      </c>
      <c r="C77" s="104">
        <f t="shared" ca="1" si="0"/>
        <v>47363</v>
      </c>
      <c r="D77" s="129">
        <f t="shared" si="1"/>
        <v>0</v>
      </c>
      <c r="E77" s="130">
        <f>IF(B77&lt;=$F$15,(E$17*(VLOOKUP($H$2,Лист2!$A:$N,12,0)-(B77-1)*VLOOKUP($H$2,Лист2!$A:$N,13,0))),0)</f>
        <v>0</v>
      </c>
      <c r="F77" s="130">
        <f t="shared" si="2"/>
        <v>0</v>
      </c>
      <c r="G77" s="146">
        <f t="shared" si="3"/>
        <v>0</v>
      </c>
      <c r="H77" s="146"/>
      <c r="I77" s="106"/>
      <c r="J77" s="106"/>
    </row>
    <row r="78" spans="1:10" x14ac:dyDescent="0.2">
      <c r="A78" s="49"/>
      <c r="B78" s="101">
        <v>50</v>
      </c>
      <c r="C78" s="104">
        <f t="shared" ca="1" si="0"/>
        <v>47393</v>
      </c>
      <c r="D78" s="129">
        <f t="shared" si="1"/>
        <v>0</v>
      </c>
      <c r="E78" s="130">
        <f>IF(B78&lt;=$F$15,(E$17*(VLOOKUP($H$2,Лист2!$A:$N,12,0)-(B78-1)*VLOOKUP($H$2,Лист2!$A:$N,13,0))),0)</f>
        <v>0</v>
      </c>
      <c r="F78" s="130">
        <f t="shared" si="2"/>
        <v>0</v>
      </c>
      <c r="G78" s="146">
        <f t="shared" si="3"/>
        <v>0</v>
      </c>
      <c r="H78" s="146"/>
      <c r="I78" s="106"/>
      <c r="J78" s="106"/>
    </row>
    <row r="79" spans="1:10" x14ac:dyDescent="0.2">
      <c r="A79" s="49"/>
      <c r="B79" s="101">
        <v>51</v>
      </c>
      <c r="C79" s="104">
        <f t="shared" ca="1" si="0"/>
        <v>47424</v>
      </c>
      <c r="D79" s="129">
        <f t="shared" si="1"/>
        <v>0</v>
      </c>
      <c r="E79" s="130">
        <f>IF(B79&lt;=$F$15,(E$17*(VLOOKUP($H$2,Лист2!$A:$N,12,0)-(B79-1)*VLOOKUP($H$2,Лист2!$A:$N,13,0))),0)</f>
        <v>0</v>
      </c>
      <c r="F79" s="130">
        <f t="shared" si="2"/>
        <v>0</v>
      </c>
      <c r="G79" s="146">
        <f t="shared" si="3"/>
        <v>0</v>
      </c>
      <c r="H79" s="146"/>
      <c r="I79" s="106"/>
      <c r="J79" s="106"/>
    </row>
    <row r="80" spans="1:10" x14ac:dyDescent="0.2">
      <c r="A80" s="49"/>
      <c r="B80" s="101">
        <v>52</v>
      </c>
      <c r="C80" s="104">
        <f t="shared" ca="1" si="0"/>
        <v>47454</v>
      </c>
      <c r="D80" s="129">
        <f t="shared" si="1"/>
        <v>0</v>
      </c>
      <c r="E80" s="130">
        <f>IF(B80&lt;=$F$15,(E$17*(VLOOKUP($H$2,Лист2!$A:$N,12,0)-(B80-1)*VLOOKUP($H$2,Лист2!$A:$N,13,0))),0)</f>
        <v>0</v>
      </c>
      <c r="F80" s="130">
        <f t="shared" si="2"/>
        <v>0</v>
      </c>
      <c r="G80" s="146">
        <f t="shared" si="3"/>
        <v>0</v>
      </c>
      <c r="H80" s="146"/>
      <c r="I80" s="106"/>
      <c r="J80" s="106"/>
    </row>
    <row r="81" spans="1:10" x14ac:dyDescent="0.2">
      <c r="A81" s="49"/>
      <c r="B81" s="101">
        <v>53</v>
      </c>
      <c r="C81" s="104">
        <f t="shared" ca="1" si="0"/>
        <v>47485</v>
      </c>
      <c r="D81" s="129">
        <f t="shared" si="1"/>
        <v>0</v>
      </c>
      <c r="E81" s="130">
        <f>IF(B81&lt;=$F$15,(E$17*(VLOOKUP($H$2,Лист2!$A:$N,12,0)-(B81-1)*VLOOKUP($H$2,Лист2!$A:$N,13,0))),0)</f>
        <v>0</v>
      </c>
      <c r="F81" s="130">
        <f t="shared" si="2"/>
        <v>0</v>
      </c>
      <c r="G81" s="146">
        <f t="shared" si="3"/>
        <v>0</v>
      </c>
      <c r="H81" s="146"/>
      <c r="I81" s="106"/>
      <c r="J81" s="106"/>
    </row>
    <row r="82" spans="1:10" x14ac:dyDescent="0.2">
      <c r="A82" s="49"/>
      <c r="B82" s="101">
        <v>54</v>
      </c>
      <c r="C82" s="104">
        <f t="shared" ca="1" si="0"/>
        <v>47516</v>
      </c>
      <c r="D82" s="129">
        <f t="shared" si="1"/>
        <v>0</v>
      </c>
      <c r="E82" s="130">
        <f>IF(B82&lt;=$F$15,(E$17*(VLOOKUP($H$2,Лист2!$A:$N,12,0)-(B82-1)*VLOOKUP($H$2,Лист2!$A:$N,13,0))),0)</f>
        <v>0</v>
      </c>
      <c r="F82" s="130">
        <f t="shared" si="2"/>
        <v>0</v>
      </c>
      <c r="G82" s="146">
        <f t="shared" si="3"/>
        <v>0</v>
      </c>
      <c r="H82" s="146"/>
      <c r="I82" s="106"/>
      <c r="J82" s="106"/>
    </row>
    <row r="83" spans="1:10" x14ac:dyDescent="0.2">
      <c r="A83" s="49"/>
      <c r="B83" s="101">
        <v>55</v>
      </c>
      <c r="C83" s="104">
        <f t="shared" ca="1" si="0"/>
        <v>47544</v>
      </c>
      <c r="D83" s="129">
        <f t="shared" si="1"/>
        <v>0</v>
      </c>
      <c r="E83" s="130">
        <f>IF(B83&lt;=$F$15,(E$17*(VLOOKUP($H$2,Лист2!$A:$N,12,0)-(B83-1)*VLOOKUP($H$2,Лист2!$A:$N,13,0))),0)</f>
        <v>0</v>
      </c>
      <c r="F83" s="130">
        <f t="shared" si="2"/>
        <v>0</v>
      </c>
      <c r="G83" s="146">
        <f t="shared" si="3"/>
        <v>0</v>
      </c>
      <c r="H83" s="146"/>
      <c r="I83" s="106"/>
      <c r="J83" s="106"/>
    </row>
    <row r="84" spans="1:10" x14ac:dyDescent="0.2">
      <c r="A84" s="49"/>
      <c r="B84" s="101">
        <v>56</v>
      </c>
      <c r="C84" s="104">
        <f t="shared" ca="1" si="0"/>
        <v>47575</v>
      </c>
      <c r="D84" s="129">
        <f t="shared" si="1"/>
        <v>0</v>
      </c>
      <c r="E84" s="130">
        <f>IF(B84&lt;=$F$15,(E$17*(VLOOKUP($H$2,Лист2!$A:$N,12,0)-(B84-1)*VLOOKUP($H$2,Лист2!$A:$N,13,0))),0)</f>
        <v>0</v>
      </c>
      <c r="F84" s="130">
        <f t="shared" si="2"/>
        <v>0</v>
      </c>
      <c r="G84" s="146">
        <f t="shared" si="3"/>
        <v>0</v>
      </c>
      <c r="H84" s="146"/>
      <c r="I84" s="106"/>
      <c r="J84" s="106"/>
    </row>
    <row r="85" spans="1:10" x14ac:dyDescent="0.2">
      <c r="A85" s="49"/>
      <c r="B85" s="101">
        <v>57</v>
      </c>
      <c r="C85" s="104">
        <f t="shared" ca="1" si="0"/>
        <v>47605</v>
      </c>
      <c r="D85" s="129">
        <f t="shared" si="1"/>
        <v>0</v>
      </c>
      <c r="E85" s="130">
        <f>IF(B85&lt;=$F$15,(E$17*(VLOOKUP($H$2,Лист2!$A:$N,12,0)-(B85-1)*VLOOKUP($H$2,Лист2!$A:$N,13,0))),0)</f>
        <v>0</v>
      </c>
      <c r="F85" s="130">
        <f t="shared" si="2"/>
        <v>0</v>
      </c>
      <c r="G85" s="146">
        <f t="shared" si="3"/>
        <v>0</v>
      </c>
      <c r="H85" s="146"/>
      <c r="I85" s="106"/>
      <c r="J85" s="106"/>
    </row>
    <row r="86" spans="1:10" x14ac:dyDescent="0.2">
      <c r="A86" s="49"/>
      <c r="B86" s="101">
        <v>58</v>
      </c>
      <c r="C86" s="104">
        <f t="shared" ca="1" si="0"/>
        <v>47636</v>
      </c>
      <c r="D86" s="129">
        <f t="shared" si="1"/>
        <v>0</v>
      </c>
      <c r="E86" s="130">
        <f>IF(B86&lt;=$F$15,(E$17*(VLOOKUP($H$2,Лист2!$A:$N,12,0)-(B86-1)*VLOOKUP($H$2,Лист2!$A:$N,13,0))),0)</f>
        <v>0</v>
      </c>
      <c r="F86" s="130">
        <f t="shared" si="2"/>
        <v>0</v>
      </c>
      <c r="G86" s="146">
        <f t="shared" si="3"/>
        <v>0</v>
      </c>
      <c r="H86" s="146"/>
      <c r="I86" s="106"/>
      <c r="J86" s="106"/>
    </row>
    <row r="87" spans="1:10" x14ac:dyDescent="0.2">
      <c r="A87" s="49"/>
      <c r="B87" s="101">
        <v>59</v>
      </c>
      <c r="C87" s="104">
        <f t="shared" ca="1" si="0"/>
        <v>47666</v>
      </c>
      <c r="D87" s="129">
        <f t="shared" si="1"/>
        <v>0</v>
      </c>
      <c r="E87" s="130">
        <f>IF(B87&lt;=$F$15,(E$17*(VLOOKUP($H$2,Лист2!$A:$N,12,0)-(B87-1)*VLOOKUP($H$2,Лист2!$A:$N,13,0))),0)</f>
        <v>0</v>
      </c>
      <c r="F87" s="130">
        <f t="shared" si="2"/>
        <v>0</v>
      </c>
      <c r="G87" s="146">
        <f t="shared" si="3"/>
        <v>0</v>
      </c>
      <c r="H87" s="146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47697</v>
      </c>
      <c r="D88" s="129">
        <f t="shared" si="1"/>
        <v>0</v>
      </c>
      <c r="E88" s="131">
        <f>IF(B88&lt;=$F$15,(E$17*(VLOOKUP($H$2,Лист2!$A:$N,12,0)-(B88-1)*VLOOKUP($H$2,Лист2!$A:$N,13,0))),0)</f>
        <v>0</v>
      </c>
      <c r="F88" s="130">
        <f t="shared" si="2"/>
        <v>0</v>
      </c>
      <c r="G88" s="147">
        <f t="shared" si="3"/>
        <v>0</v>
      </c>
      <c r="H88" s="147"/>
      <c r="I88" s="106"/>
      <c r="J88" s="106"/>
    </row>
    <row r="89" spans="1:10" ht="16.5" thickBot="1" x14ac:dyDescent="0.25">
      <c r="A89" s="49"/>
      <c r="B89" s="141" t="s">
        <v>1</v>
      </c>
      <c r="C89" s="142"/>
      <c r="D89" s="133">
        <f>SUM(D29:D88)</f>
        <v>50000</v>
      </c>
      <c r="E89" s="133">
        <f>SUM(E29:E88)</f>
        <v>0</v>
      </c>
      <c r="F89" s="133">
        <f>SUM(F29:F88)</f>
        <v>70662.895011335757</v>
      </c>
      <c r="G89" s="143">
        <f>SUM(G29:H88)</f>
        <v>120662.89501133568</v>
      </c>
      <c r="H89" s="144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45" t="s">
        <v>3</v>
      </c>
      <c r="F91" s="145"/>
      <c r="G91" s="145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C9Su6DDUo1l+Tc24ZdSH+g+nrpk+FYkkLB9vhNFXAKaDlb1W6PqDbRXtOpzidcpnaZrIVh9tW1IV5ZqpujFKyw==" saltValue="ru1Y2s88nP8oM3F/HKdWLA==" spinCount="100000" sheet="1" selectLockedCells="1"/>
  <dataConsolidate/>
  <mergeCells count="87">
    <mergeCell ref="B7:E7"/>
    <mergeCell ref="H1:I1"/>
    <mergeCell ref="H2:I2"/>
    <mergeCell ref="F3:F4"/>
    <mergeCell ref="H3:I3"/>
    <mergeCell ref="B5:E5"/>
    <mergeCell ref="B9:E9"/>
    <mergeCell ref="G9:H9"/>
    <mergeCell ref="B11:E11"/>
    <mergeCell ref="G11:H11"/>
    <mergeCell ref="B13:E13"/>
    <mergeCell ref="G13:H13"/>
    <mergeCell ref="B15:E15"/>
    <mergeCell ref="G15:H15"/>
    <mergeCell ref="B18:E18"/>
    <mergeCell ref="G18:H18"/>
    <mergeCell ref="B20:E20"/>
    <mergeCell ref="G20:H20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</mergeCells>
  <dataValidations count="1">
    <dataValidation type="list" showInputMessage="1" showErrorMessage="1" sqref="H2:I2" xr:uid="{00000000-0002-0000-0000-000000000000}">
      <formula1>$K$16:$K$18</formula1>
    </dataValidation>
  </dataValidations>
  <pageMargins left="0.39370078740157483" right="0.35433070866141736" top="0.59055118110236227" bottom="0.59055118110236227" header="0.51181102362204722" footer="0.51181102362204722"/>
  <pageSetup paperSize="9" scale="67" firstPageNumber="2" orientation="portrait" verticalDpi="300" r:id="rId1"/>
  <headerFooter alignWithMargins="0"/>
  <rowBreaks count="1" manualBreakCount="1">
    <brk id="8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6"/>
  <sheetViews>
    <sheetView zoomScale="85" zoomScaleNormal="85" workbookViewId="0">
      <selection activeCell="E13" sqref="E13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46</v>
      </c>
      <c r="B4" s="117">
        <v>50000</v>
      </c>
      <c r="C4" s="117">
        <v>36</v>
      </c>
      <c r="D4" s="118">
        <v>0.69989999999999997</v>
      </c>
      <c r="E4" s="118">
        <v>0</v>
      </c>
      <c r="F4" s="118">
        <v>0</v>
      </c>
      <c r="G4" s="117" t="str">
        <f t="shared" ref="G4:G5" si="0">I$2&amp;" "&amp;B4&amp;" "&amp;H$2</f>
        <v>max. 50000 грн.</v>
      </c>
      <c r="H4" s="117">
        <f t="shared" ref="H4:H5" si="1">B4+B4*E4</f>
        <v>50000</v>
      </c>
      <c r="I4" s="117"/>
      <c r="J4" s="117">
        <v>5</v>
      </c>
      <c r="K4" s="119">
        <f t="shared" ref="K4:K5" si="2">D4/12/(1-1/POWER(1+D4/12,C4))*H4+H4*F4</f>
        <v>3351.7470836482171</v>
      </c>
      <c r="L4" s="120">
        <v>0</v>
      </c>
      <c r="M4" s="121">
        <v>0</v>
      </c>
      <c r="N4" s="117">
        <v>5000</v>
      </c>
    </row>
    <row r="5" spans="1:14" x14ac:dyDescent="0.2">
      <c r="A5" s="117" t="s">
        <v>47</v>
      </c>
      <c r="B5" s="117">
        <v>50000</v>
      </c>
      <c r="C5" s="117">
        <v>24</v>
      </c>
      <c r="D5" s="118">
        <v>0.69989999999999997</v>
      </c>
      <c r="E5" s="118">
        <v>0</v>
      </c>
      <c r="F5" s="118">
        <v>0</v>
      </c>
      <c r="G5" s="117" t="str">
        <f t="shared" si="0"/>
        <v>max. 50000 грн.</v>
      </c>
      <c r="H5" s="117">
        <f t="shared" si="1"/>
        <v>50000</v>
      </c>
      <c r="I5" s="117"/>
      <c r="J5" s="117">
        <v>6</v>
      </c>
      <c r="K5" s="119">
        <f t="shared" si="2"/>
        <v>3922.4991672992896</v>
      </c>
      <c r="L5" s="120">
        <v>0</v>
      </c>
      <c r="M5" s="121">
        <v>0</v>
      </c>
      <c r="N5" s="117">
        <v>5000</v>
      </c>
    </row>
    <row r="6" spans="1:14" x14ac:dyDescent="0.2">
      <c r="A6" s="117" t="s">
        <v>48</v>
      </c>
      <c r="B6" s="117">
        <v>50000</v>
      </c>
      <c r="C6" s="117">
        <v>12</v>
      </c>
      <c r="D6" s="118">
        <v>0.69989999999999997</v>
      </c>
      <c r="E6" s="118">
        <v>0</v>
      </c>
      <c r="F6" s="118">
        <v>0</v>
      </c>
      <c r="G6" s="117" t="str">
        <f t="shared" ref="G6" si="3">I$2&amp;" "&amp;B6&amp;" "&amp;H$2</f>
        <v>max. 50000 грн.</v>
      </c>
      <c r="H6" s="117">
        <f t="shared" ref="H6" si="4">B6+B6*E6</f>
        <v>50000</v>
      </c>
      <c r="I6" s="117"/>
      <c r="J6" s="117">
        <v>7</v>
      </c>
      <c r="K6" s="119">
        <f t="shared" ref="K6" si="5">D6/12/(1-1/POWER(1+D6/12,C6))*H6+H6*F6</f>
        <v>5909.2078829461179</v>
      </c>
      <c r="L6" s="120">
        <v>0</v>
      </c>
      <c r="M6" s="121">
        <v>0</v>
      </c>
      <c r="N6" s="117">
        <v>5000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79" t="s">
        <v>13</v>
      </c>
      <c r="B1" s="180"/>
      <c r="C1" s="180"/>
      <c r="D1" s="18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74" t="s">
        <v>30</v>
      </c>
      <c r="B3" s="175"/>
      <c r="C3" s="175"/>
      <c r="D3" s="176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74" t="s">
        <v>29</v>
      </c>
      <c r="B5" s="175"/>
      <c r="C5" s="175"/>
      <c r="D5" s="176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74" t="s">
        <v>31</v>
      </c>
      <c r="B7" s="175"/>
      <c r="C7" s="175"/>
      <c r="D7" s="176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74" t="s">
        <v>44</v>
      </c>
      <c r="B9" s="175"/>
      <c r="C9" s="175"/>
      <c r="D9" s="176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74" t="s">
        <v>43</v>
      </c>
      <c r="B12" s="175"/>
      <c r="C12" s="175"/>
      <c r="D12" s="176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74" t="s">
        <v>38</v>
      </c>
      <c r="B14" s="175"/>
      <c r="C14" s="175"/>
      <c r="D14" s="176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74" t="s">
        <v>42</v>
      </c>
      <c r="B16" s="175"/>
      <c r="C16" s="175"/>
      <c r="D16" s="176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77" t="s">
        <v>5</v>
      </c>
      <c r="B20" s="178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82" t="s">
        <v>16</v>
      </c>
      <c r="B21" s="183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82" t="s">
        <v>6</v>
      </c>
      <c r="B22" s="183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82" t="s">
        <v>14</v>
      </c>
      <c r="B23" s="183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82" t="s">
        <v>15</v>
      </c>
      <c r="B24" s="183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85" t="s">
        <v>36</v>
      </c>
      <c r="B27" s="186"/>
      <c r="C27" s="186"/>
      <c r="D27" s="186"/>
      <c r="E27" s="186"/>
      <c r="F27" s="186"/>
      <c r="G27" s="187"/>
    </row>
    <row r="28" spans="1:8" ht="45.75" thickBot="1" x14ac:dyDescent="0.25">
      <c r="A28" s="188" t="s">
        <v>2</v>
      </c>
      <c r="B28" s="189"/>
      <c r="C28" s="84" t="s">
        <v>34</v>
      </c>
      <c r="D28" s="84" t="s">
        <v>32</v>
      </c>
      <c r="E28" s="84" t="s">
        <v>33</v>
      </c>
      <c r="F28" s="190" t="s">
        <v>35</v>
      </c>
      <c r="G28" s="191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84"/>
      <c r="E30" s="184"/>
      <c r="F30" s="184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21:B21"/>
    <mergeCell ref="A22:B22"/>
    <mergeCell ref="D30:F30"/>
    <mergeCell ref="A24:B24"/>
    <mergeCell ref="A27:G27"/>
    <mergeCell ref="A28:B28"/>
    <mergeCell ref="F28:G28"/>
    <mergeCell ref="A23:B23"/>
    <mergeCell ref="A12:D12"/>
    <mergeCell ref="A14:D14"/>
    <mergeCell ref="A16:D16"/>
    <mergeCell ref="A20:B20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Миттєвий</vt:lpstr>
      <vt:lpstr>Лист2</vt:lpstr>
      <vt:lpstr>Назви</vt:lpstr>
      <vt:lpstr>Миттєвий!Область_друку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2025-07-30T08:18:09Z</dcterms:modified>
</cp:coreProperties>
</file>