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Позитив Нестандарт\"/>
    </mc:Choice>
  </mc:AlternateContent>
  <xr:revisionPtr revIDLastSave="0" documentId="13_ncr:1_{B17ECCB2-6ECB-466D-BA2D-CED97FE68C49}" xr6:coauthVersionLast="47" xr6:coauthVersionMax="47" xr10:uidLastSave="{00000000-0000-0000-0000-000000000000}"/>
  <workbookProtection workbookAlgorithmName="SHA-512" workbookHashValue="s0AeQFy4IIqJvVAsdr9DNuV4Kh7wfBT6mici5qsFF0k5ufluF7N5MZXTIjDv9+ODwU7ugLb0e+fe4IEFhlGQ2Q==" workbookSaltValue="qvYu7eeSfCF0FxjKy6yf7Q==" workbookSpinCount="100000" lockStructure="1"/>
  <bookViews>
    <workbookView xWindow="-120" yWindow="-120" windowWidth="29040" windowHeight="15990" tabRatio="863" firstSheet="6" activeTab="8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Позитив_Нестандарт" sheetId="188" r:id="rId7"/>
    <sheet name="Від 200 000 до 500 000" sheetId="189" state="hidden" r:id="rId8"/>
    <sheet name="Позитив_Нестандарт СК" sheetId="192" r:id="rId9"/>
    <sheet name="Лист2" sheetId="165" state="hidden" r:id="rId10"/>
    <sheet name="Назви" sheetId="161" state="hidden" r:id="rId11"/>
    <sheet name="Лист3" sheetId="191" state="hidden" r:id="rId12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6" hidden="1">Позитив_Нестандарт!$A$27:$H$89</definedName>
    <definedName name="_xlnm._FilterDatabase" localSheetId="8" hidden="1">'Позитив_Нестандарт СК'!$A$27:$H$89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3">Пенсійний!$A$1:$I$95</definedName>
    <definedName name="_xlnm.Print_Area" localSheetId="6">Позитив_Нестандарт!$A$1:$I$92</definedName>
    <definedName name="_xlnm.Print_Area" localSheetId="8">'Позитив_Нестандарт СК'!$A$1:$I$92</definedName>
    <definedName name="_xlnm.Print_Area" localSheetId="1">Простий!$A$1:$I$95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92" l="1"/>
  <c r="K15" i="192"/>
  <c r="K16" i="192"/>
  <c r="K10" i="188"/>
  <c r="K11" i="188"/>
  <c r="K12" i="188"/>
  <c r="H11" i="165"/>
  <c r="K11" i="165" s="1"/>
  <c r="G11" i="165"/>
  <c r="H10" i="165"/>
  <c r="K10" i="165" s="1"/>
  <c r="G10" i="165"/>
  <c r="H9" i="165"/>
  <c r="K9" i="165" s="1"/>
  <c r="G9" i="165"/>
  <c r="H8" i="165"/>
  <c r="K8" i="165" s="1"/>
  <c r="G8" i="165"/>
  <c r="H7" i="165" l="1"/>
  <c r="K7" i="165" s="1"/>
  <c r="G7" i="165"/>
  <c r="H6" i="165"/>
  <c r="K6" i="165" s="1"/>
  <c r="G6" i="165"/>
  <c r="H5" i="165"/>
  <c r="K5" i="165" s="1"/>
  <c r="G5" i="165"/>
  <c r="H4" i="165"/>
  <c r="K4" i="165" s="1"/>
  <c r="G4" i="165"/>
  <c r="C28" i="188"/>
  <c r="C28" i="192"/>
  <c r="K9" i="188" l="1"/>
  <c r="E89" i="192" l="1"/>
  <c r="C29" i="192"/>
  <c r="C30" i="192" s="1"/>
  <c r="C31" i="192" s="1"/>
  <c r="C32" i="192" s="1"/>
  <c r="C33" i="192" s="1"/>
  <c r="C34" i="192" s="1"/>
  <c r="C35" i="192" s="1"/>
  <c r="C36" i="192" s="1"/>
  <c r="C37" i="192" s="1"/>
  <c r="C38" i="192" s="1"/>
  <c r="C39" i="192" s="1"/>
  <c r="C40" i="192" s="1"/>
  <c r="C41" i="192" s="1"/>
  <c r="C42" i="192" s="1"/>
  <c r="C43" i="192" s="1"/>
  <c r="C44" i="192" s="1"/>
  <c r="C45" i="192" s="1"/>
  <c r="C46" i="192" s="1"/>
  <c r="C47" i="192" s="1"/>
  <c r="C48" i="192" s="1"/>
  <c r="C49" i="192" s="1"/>
  <c r="C50" i="192" s="1"/>
  <c r="C51" i="192" s="1"/>
  <c r="C52" i="192" s="1"/>
  <c r="C53" i="192" s="1"/>
  <c r="C54" i="192" s="1"/>
  <c r="C55" i="192" s="1"/>
  <c r="C56" i="192" s="1"/>
  <c r="C57" i="192" s="1"/>
  <c r="C58" i="192" s="1"/>
  <c r="C59" i="192" s="1"/>
  <c r="C60" i="192" s="1"/>
  <c r="C61" i="192" s="1"/>
  <c r="C62" i="192" s="1"/>
  <c r="C63" i="192" s="1"/>
  <c r="C64" i="192" s="1"/>
  <c r="C65" i="192" s="1"/>
  <c r="C66" i="192" s="1"/>
  <c r="C67" i="192" s="1"/>
  <c r="C68" i="192" s="1"/>
  <c r="C69" i="192" s="1"/>
  <c r="C70" i="192" s="1"/>
  <c r="C71" i="192" s="1"/>
  <c r="C72" i="192" s="1"/>
  <c r="C73" i="192" s="1"/>
  <c r="C74" i="192" s="1"/>
  <c r="C75" i="192" s="1"/>
  <c r="C76" i="192" s="1"/>
  <c r="C77" i="192" s="1"/>
  <c r="C78" i="192" s="1"/>
  <c r="C79" i="192" s="1"/>
  <c r="C80" i="192" s="1"/>
  <c r="C81" i="192" s="1"/>
  <c r="C82" i="192" s="1"/>
  <c r="C83" i="192" s="1"/>
  <c r="C84" i="192" s="1"/>
  <c r="C85" i="192" s="1"/>
  <c r="C86" i="192" s="1"/>
  <c r="C87" i="192" s="1"/>
  <c r="C88" i="192" s="1"/>
  <c r="G27" i="192"/>
  <c r="F27" i="192"/>
  <c r="E27" i="192"/>
  <c r="D27" i="192"/>
  <c r="C27" i="192"/>
  <c r="B26" i="192"/>
  <c r="B24" i="192"/>
  <c r="E22" i="192"/>
  <c r="D22" i="192"/>
  <c r="C22" i="192"/>
  <c r="B22" i="192"/>
  <c r="E20" i="192"/>
  <c r="D20" i="192"/>
  <c r="C20" i="192"/>
  <c r="B20" i="192"/>
  <c r="E18" i="192"/>
  <c r="D18" i="192"/>
  <c r="C18" i="192"/>
  <c r="B18" i="192"/>
  <c r="F15" i="192"/>
  <c r="E15" i="192"/>
  <c r="D15" i="192"/>
  <c r="C15" i="192"/>
  <c r="B15" i="192"/>
  <c r="K13" i="192"/>
  <c r="F13" i="192"/>
  <c r="E13" i="192"/>
  <c r="D13" i="192"/>
  <c r="C13" i="192"/>
  <c r="B13" i="192"/>
  <c r="F11" i="192"/>
  <c r="E16" i="192" s="1"/>
  <c r="E11" i="192"/>
  <c r="D11" i="192"/>
  <c r="C11" i="192"/>
  <c r="B11" i="192"/>
  <c r="F9" i="192"/>
  <c r="E9" i="192"/>
  <c r="D9" i="192"/>
  <c r="C9" i="192"/>
  <c r="B9" i="192"/>
  <c r="G3" i="192"/>
  <c r="G2" i="192"/>
  <c r="F2" i="192"/>
  <c r="E2" i="192"/>
  <c r="E3" i="192" l="1"/>
  <c r="G28" i="192" s="1"/>
  <c r="F15" i="188"/>
  <c r="F13" i="188"/>
  <c r="F11" i="188"/>
  <c r="F9" i="188"/>
  <c r="F2" i="188"/>
  <c r="E2" i="188"/>
  <c r="H3" i="192"/>
  <c r="H3" i="188"/>
  <c r="F3" i="192" l="1"/>
  <c r="E17" i="192"/>
  <c r="D42" i="192" s="1"/>
  <c r="H3" i="187"/>
  <c r="F15" i="187"/>
  <c r="F13" i="187"/>
  <c r="F11" i="187"/>
  <c r="B11" i="187"/>
  <c r="E11" i="187"/>
  <c r="D11" i="187"/>
  <c r="C11" i="187"/>
  <c r="D67" i="192" l="1"/>
  <c r="D66" i="192"/>
  <c r="D36" i="192"/>
  <c r="D40" i="192"/>
  <c r="D32" i="192"/>
  <c r="D71" i="192"/>
  <c r="D46" i="192"/>
  <c r="D51" i="192"/>
  <c r="D41" i="192"/>
  <c r="D83" i="192"/>
  <c r="D53" i="192"/>
  <c r="D55" i="192"/>
  <c r="D50" i="192"/>
  <c r="D87" i="192"/>
  <c r="D58" i="192"/>
  <c r="D73" i="192"/>
  <c r="D37" i="192"/>
  <c r="D59" i="192"/>
  <c r="D29" i="192"/>
  <c r="D56" i="192"/>
  <c r="D75" i="192"/>
  <c r="D34" i="192"/>
  <c r="D44" i="192"/>
  <c r="D64" i="192"/>
  <c r="D47" i="192"/>
  <c r="D63" i="192"/>
  <c r="D45" i="192"/>
  <c r="D61" i="192"/>
  <c r="D79" i="192"/>
  <c r="D35" i="192"/>
  <c r="D48" i="192"/>
  <c r="D69" i="192"/>
  <c r="D81" i="192"/>
  <c r="D85" i="192"/>
  <c r="F18" i="192"/>
  <c r="D77" i="192"/>
  <c r="D43" i="192"/>
  <c r="D49" i="192"/>
  <c r="D60" i="192"/>
  <c r="D70" i="192"/>
  <c r="D78" i="192"/>
  <c r="D86" i="192"/>
  <c r="D31" i="192"/>
  <c r="D82" i="192"/>
  <c r="D52" i="192"/>
  <c r="D62" i="192"/>
  <c r="D72" i="192"/>
  <c r="D80" i="192"/>
  <c r="D88" i="192"/>
  <c r="D39" i="192"/>
  <c r="D30" i="192"/>
  <c r="D54" i="192"/>
  <c r="D65" i="192"/>
  <c r="D74" i="192"/>
  <c r="D33" i="192"/>
  <c r="D57" i="192"/>
  <c r="D68" i="192"/>
  <c r="D76" i="192"/>
  <c r="D84" i="192"/>
  <c r="D38" i="192"/>
  <c r="F11" i="189"/>
  <c r="F15" i="189"/>
  <c r="D89" i="192" l="1"/>
  <c r="F7" i="192" s="1"/>
  <c r="F54" i="192" s="1"/>
  <c r="G54" i="192" s="1"/>
  <c r="K44" i="189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G27" i="188"/>
  <c r="F27" i="188"/>
  <c r="E27" i="188"/>
  <c r="D27" i="188"/>
  <c r="C27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F29" i="192" l="1"/>
  <c r="G29" i="192" s="1"/>
  <c r="F53" i="192"/>
  <c r="G53" i="192" s="1"/>
  <c r="F63" i="192"/>
  <c r="G63" i="192" s="1"/>
  <c r="F34" i="192"/>
  <c r="G34" i="192" s="1"/>
  <c r="F80" i="192"/>
  <c r="G80" i="192" s="1"/>
  <c r="F35" i="192"/>
  <c r="G35" i="192" s="1"/>
  <c r="F64" i="192"/>
  <c r="G64" i="192" s="1"/>
  <c r="F47" i="192"/>
  <c r="G47" i="192" s="1"/>
  <c r="F31" i="192"/>
  <c r="G31" i="192" s="1"/>
  <c r="F70" i="192"/>
  <c r="G70" i="192" s="1"/>
  <c r="F69" i="192"/>
  <c r="G69" i="192" s="1"/>
  <c r="F75" i="192"/>
  <c r="G75" i="192" s="1"/>
  <c r="F87" i="192"/>
  <c r="G87" i="192" s="1"/>
  <c r="F65" i="192"/>
  <c r="G65" i="192" s="1"/>
  <c r="F48" i="192"/>
  <c r="G48" i="192" s="1"/>
  <c r="F55" i="192"/>
  <c r="G55" i="192" s="1"/>
  <c r="F85" i="192"/>
  <c r="G85" i="192" s="1"/>
  <c r="F52" i="192"/>
  <c r="G52" i="192" s="1"/>
  <c r="F56" i="192"/>
  <c r="G56" i="192" s="1"/>
  <c r="F81" i="192"/>
  <c r="G81" i="192" s="1"/>
  <c r="F36" i="192"/>
  <c r="G36" i="192" s="1"/>
  <c r="F84" i="192"/>
  <c r="G84" i="192" s="1"/>
  <c r="F61" i="192"/>
  <c r="G61" i="192" s="1"/>
  <c r="F44" i="192"/>
  <c r="G44" i="192" s="1"/>
  <c r="F58" i="192"/>
  <c r="G58" i="192" s="1"/>
  <c r="F82" i="192"/>
  <c r="G82" i="192" s="1"/>
  <c r="F67" i="192"/>
  <c r="G67" i="192" s="1"/>
  <c r="F79" i="192"/>
  <c r="G79" i="192" s="1"/>
  <c r="F49" i="192"/>
  <c r="G49" i="192" s="1"/>
  <c r="F76" i="192"/>
  <c r="G76" i="192" s="1"/>
  <c r="F62" i="192"/>
  <c r="G62" i="192" s="1"/>
  <c r="F39" i="192"/>
  <c r="G39" i="192" s="1"/>
  <c r="F57" i="192"/>
  <c r="G57" i="192" s="1"/>
  <c r="F42" i="192"/>
  <c r="G42" i="192" s="1"/>
  <c r="F74" i="192"/>
  <c r="G74" i="192" s="1"/>
  <c r="F32" i="192"/>
  <c r="G32" i="192" s="1"/>
  <c r="F86" i="192"/>
  <c r="G86" i="192" s="1"/>
  <c r="F78" i="192"/>
  <c r="G78" i="192" s="1"/>
  <c r="F73" i="192"/>
  <c r="G73" i="192" s="1"/>
  <c r="F40" i="192"/>
  <c r="G40" i="192" s="1"/>
  <c r="F38" i="192"/>
  <c r="G38" i="192" s="1"/>
  <c r="F77" i="192"/>
  <c r="G77" i="192" s="1"/>
  <c r="F71" i="192"/>
  <c r="G71" i="192" s="1"/>
  <c r="F66" i="192"/>
  <c r="G66" i="192" s="1"/>
  <c r="F83" i="192"/>
  <c r="G83" i="192" s="1"/>
  <c r="F59" i="192"/>
  <c r="G59" i="192" s="1"/>
  <c r="F43" i="192"/>
  <c r="G43" i="192" s="1"/>
  <c r="F30" i="192"/>
  <c r="G30" i="192" s="1"/>
  <c r="F68" i="192"/>
  <c r="G68" i="192" s="1"/>
  <c r="F37" i="192"/>
  <c r="G37" i="192" s="1"/>
  <c r="F33" i="192"/>
  <c r="G33" i="192" s="1"/>
  <c r="F72" i="192"/>
  <c r="G72" i="192" s="1"/>
  <c r="F45" i="192"/>
  <c r="G45" i="192" s="1"/>
  <c r="F46" i="192"/>
  <c r="G46" i="192" s="1"/>
  <c r="F88" i="192"/>
  <c r="G88" i="192" s="1"/>
  <c r="F41" i="192"/>
  <c r="G41" i="192" s="1"/>
  <c r="F50" i="192"/>
  <c r="G50" i="192" s="1"/>
  <c r="F51" i="192"/>
  <c r="G51" i="192" s="1"/>
  <c r="F60" i="192"/>
  <c r="G60" i="192" s="1"/>
  <c r="E18" i="187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G89" i="192" l="1"/>
  <c r="F20" i="192" s="1"/>
  <c r="F22" i="192" s="1"/>
  <c r="F24" i="192"/>
  <c r="F89" i="192"/>
  <c r="E19" i="187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75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D40" i="187"/>
  <c r="E37" i="187"/>
  <c r="F45" i="187" l="1"/>
  <c r="F41" i="187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<sst xmlns="http://schemas.openxmlformats.org/spreadsheetml/2006/main" count="189" uniqueCount="103">
  <si>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</si>
  <si>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</si>
  <si>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</si>
  <si>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</si>
  <si>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</si>
  <si>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</si>
  <si>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</si>
  <si>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</si>
  <si>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</si>
  <si>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</si>
  <si>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</si>
  <si>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</si>
  <si>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</si>
  <si>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</si>
  <si>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</si>
  <si>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</si>
  <si>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</si>
  <si>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</si>
  <si>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</si>
  <si>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</si>
  <si>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</si>
  <si>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</si>
  <si>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</si>
  <si>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</si>
  <si>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</si>
  <si>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</si>
  <si>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</si>
  <si>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</si>
  <si>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</si>
  <si>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</si>
  <si>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</si>
  <si>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</si>
  <si>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</si>
  <si>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</si>
  <si>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</si>
  <si>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</si>
  <si>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</si>
  <si>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</si>
  <si>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</si>
  <si>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</si>
  <si>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</si>
  <si>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</si>
  <si>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</si>
  <si>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</si>
  <si>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</si>
  <si>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</si>
  <si>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</si>
  <si>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</si>
  <si>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</si>
  <si>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</si>
  <si>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</si>
  <si>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</si>
  <si>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</si>
  <si>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</si>
  <si>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</si>
  <si>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</si>
  <si>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</si>
  <si>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</si>
  <si>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</si>
  <si>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</si>
  <si>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</si>
  <si>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</si>
  <si>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</si>
  <si>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</si>
  <si>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</si>
  <si>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</si>
  <si>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</si>
  <si>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</si>
  <si>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</si>
  <si>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</si>
  <si>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</si>
  <si>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</si>
  <si>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</si>
  <si>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</si>
  <si>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</si>
  <si>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</si>
  <si>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</si>
  <si>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</si>
  <si>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</si>
  <si>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</si>
  <si>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</si>
  <si>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</si>
  <si>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</si>
  <si>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</si>
  <si>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</si>
  <si>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</si>
  <si>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</si>
  <si>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</si>
  <si>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</si>
  <si>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</si>
  <si>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</si>
  <si>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</si>
  <si>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</si>
  <si>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</si>
  <si>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</si>
  <si>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>Позитив Нестандарт 60 міс.</t>
  </si>
  <si>
    <t>Позитив Нестандарт 36 міс.</t>
  </si>
  <si>
    <t>Позитив Нестандарт 24 міс.</t>
  </si>
  <si>
    <t>Позитив Нестандарт 12 міс.</t>
  </si>
  <si>
    <t>Позитив Нестандарт СК, 60 міс.</t>
  </si>
  <si>
    <t>Позитив Нестандарт СК, 36 міс.</t>
  </si>
  <si>
    <t>Позитив Нестандарт СК, 24 міс.</t>
  </si>
  <si>
    <t>Позитив Нестандарт СК,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</si>
</sst>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" xfId="23" applyNumberFormat="1" applyFont="1" applyBorder="1" applyAlignment="1">
      <alignment horizontal="center"/>
    </xf>
    <xf numFmtId="4" fontId="17" fillId="0" borderId="19" xfId="23" applyNumberFormat="1" applyFont="1" applyBorder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10" fontId="17" fillId="0" borderId="0" xfId="23" applyNumberFormat="1" applyFont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7" xfId="23" applyNumberFormat="1" applyFont="1" applyBorder="1" applyAlignment="1">
      <alignment horizont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38100</xdr:rowOff>
    </xdr:from>
    <xdr:to>
      <xdr:col>3</xdr:col>
      <xdr:colOff>276224</xdr:colOff>
      <xdr:row>3</xdr:row>
      <xdr:rowOff>76200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4" y="38100"/>
          <a:ext cx="1685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333375</xdr:colOff>
      <xdr:row>3</xdr:row>
      <xdr:rowOff>85725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0"/>
          <a:ext cx="17430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42" t="s">
        <v>49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2:17" ht="20.25" customHeight="1" x14ac:dyDescent="0.2">
      <c r="B5" s="245" t="s">
        <v>50</v>
      </c>
      <c r="C5" s="231" t="s">
        <v>42</v>
      </c>
      <c r="D5" s="233" t="s">
        <v>41</v>
      </c>
      <c r="E5" s="234"/>
      <c r="F5" s="234"/>
      <c r="G5" s="234"/>
      <c r="H5" s="234"/>
      <c r="I5" s="234"/>
      <c r="J5" s="234"/>
      <c r="K5" s="235"/>
      <c r="L5" s="235"/>
      <c r="M5" s="235"/>
      <c r="N5" s="235"/>
      <c r="O5" s="235"/>
      <c r="P5" s="236"/>
      <c r="Q5" s="237" t="s">
        <v>45</v>
      </c>
    </row>
    <row r="6" spans="2:17" ht="20.25" customHeight="1" thickBot="1" x14ac:dyDescent="0.25">
      <c r="B6" s="246"/>
      <c r="C6" s="23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8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9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40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40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41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67" t="s">
        <v>68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91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si="4"/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4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4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4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4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4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4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4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4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4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4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4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4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4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4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4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4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4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si="4"/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4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4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4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4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4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si="4"/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4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4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4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4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4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4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4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4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4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4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4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4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4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si="4"/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4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4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4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4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4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4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4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4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4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67" t="s">
        <v>67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43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ref="G44:G61" si="6">D44+E44+F44</f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6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6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6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6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6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6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6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6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6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6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6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6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6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6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6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6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6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ref="G62:G67" si="7">D62+E62+F62</f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7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7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7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7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7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ref="G68:G81" si="8">D68+E68+F68</f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8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8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8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8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8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8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8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8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8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8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8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8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8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ref="G82:G91" si="9">D82+E82+F82</f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9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9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9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9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9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9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9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9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9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G62:H62"/>
    <mergeCell ref="G63:H63"/>
    <mergeCell ref="G64:H64"/>
    <mergeCell ref="G65:H65"/>
    <mergeCell ref="G66:H66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49:H49"/>
    <mergeCell ref="G50:H50"/>
    <mergeCell ref="G51:H51"/>
    <mergeCell ref="G55:H55"/>
    <mergeCell ref="G56:H56"/>
    <mergeCell ref="G46:H46"/>
    <mergeCell ref="G47:H47"/>
    <mergeCell ref="G48:H48"/>
    <mergeCell ref="G43:H43"/>
    <mergeCell ref="G44:H44"/>
    <mergeCell ref="G45:H45"/>
    <mergeCell ref="H2:I2"/>
    <mergeCell ref="F3:F4"/>
    <mergeCell ref="H3:I3"/>
    <mergeCell ref="G40:H40"/>
    <mergeCell ref="G41:H41"/>
    <mergeCell ref="G37:H37"/>
    <mergeCell ref="G38:H38"/>
    <mergeCell ref="G39:H39"/>
    <mergeCell ref="B5:E5"/>
    <mergeCell ref="B7:E7"/>
    <mergeCell ref="B11:E11"/>
    <mergeCell ref="B9:E9"/>
    <mergeCell ref="B13:E13"/>
    <mergeCell ref="B16:E16"/>
    <mergeCell ref="B18:E18"/>
    <mergeCell ref="B20:E20"/>
    <mergeCell ref="B22:C22"/>
    <mergeCell ref="B23:C23"/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67" t="s">
        <v>66</v>
      </c>
      <c r="I2" s="268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70"/>
      <c r="G4" s="125"/>
      <c r="H4" s="39"/>
      <c r="I4" s="50"/>
      <c r="J4" s="50"/>
      <c r="AA4" s="69"/>
    </row>
    <row r="5" spans="1:45" ht="21" thickBot="1" x14ac:dyDescent="0.25">
      <c r="A5" s="1"/>
      <c r="B5" s="273" t="str">
        <f>Назви!A1</f>
        <v>Cash out, грн.</v>
      </c>
      <c r="C5" s="274"/>
      <c r="D5" s="274"/>
      <c r="E5" s="275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76" t="str">
        <f>Назви!A3</f>
        <v>Процентна ставка базова, % річних</v>
      </c>
      <c r="C7" s="277">
        <f>Назви!B3</f>
        <v>0</v>
      </c>
      <c r="D7" s="277">
        <f>Назви!C3</f>
        <v>0</v>
      </c>
      <c r="E7" s="278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76" t="str">
        <f>Назви!A7</f>
        <v>Разовий страховий тариф, %</v>
      </c>
      <c r="C9" s="277">
        <f>Назви!B7</f>
        <v>0</v>
      </c>
      <c r="D9" s="277">
        <f>Назви!C7</f>
        <v>0</v>
      </c>
      <c r="E9" s="278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76" t="str">
        <f>Назви!A9</f>
        <v xml:space="preserve">Щомісячна плата за обслуговування кредитної заборгованості, % </v>
      </c>
      <c r="C11" s="277">
        <f>Назви!B9</f>
        <v>0</v>
      </c>
      <c r="D11" s="277">
        <f>Назви!C9</f>
        <v>0</v>
      </c>
      <c r="E11" s="278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76" t="str">
        <f>Назви!A11</f>
        <v>Термін кредитування (міс.)</v>
      </c>
      <c r="C13" s="277">
        <f>Назви!B11</f>
        <v>0</v>
      </c>
      <c r="D13" s="277">
        <f>Назви!C11</f>
        <v>0</v>
      </c>
      <c r="E13" s="278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79" t="str">
        <f>Назви!A14</f>
        <v>Орієнтовний платіж, грн.</v>
      </c>
      <c r="C16" s="280">
        <f>Назви!B14</f>
        <v>0</v>
      </c>
      <c r="D16" s="280">
        <f>Назви!C14</f>
        <v>0</v>
      </c>
      <c r="E16" s="281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79" t="str">
        <f>Назви!A16</f>
        <v>Орієнтовні загальні витрати за кредитом, грн.</v>
      </c>
      <c r="C18" s="280">
        <f>Назви!B16</f>
        <v>0</v>
      </c>
      <c r="D18" s="280">
        <f>Назви!C16</f>
        <v>0</v>
      </c>
      <c r="E18" s="281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79" t="str">
        <f>Назви!A18</f>
        <v>Орієнтовна загальна вартість кредиту, грн.</v>
      </c>
      <c r="C20" s="280">
        <f>Назви!B18</f>
        <v>0</v>
      </c>
      <c r="D20" s="280">
        <f>Назви!C18</f>
        <v>0</v>
      </c>
      <c r="E20" s="281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65" t="str">
        <f>Назви!A22</f>
        <v>Інший термін</v>
      </c>
      <c r="C22" s="266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56" t="s">
        <v>36</v>
      </c>
      <c r="C23" s="25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56" t="s">
        <v>37</v>
      </c>
      <c r="C24" s="25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56" t="s">
        <v>8</v>
      </c>
      <c r="C25" s="25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56"/>
      <c r="C26" s="25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58" t="str">
        <f>Назви!A29</f>
        <v>Орієнтовний порядок повернення кредиту</v>
      </c>
      <c r="C29" s="259"/>
      <c r="D29" s="259"/>
      <c r="E29" s="259"/>
      <c r="F29" s="259"/>
      <c r="G29" s="259"/>
      <c r="H29" s="26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61" t="str">
        <f>Назви!A30</f>
        <v>Місяць</v>
      </c>
      <c r="C30" s="26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61" t="str">
        <f>Назви!F30</f>
        <v>Сума платежу за розрахунковий період, грн.</v>
      </c>
      <c r="H30" s="26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45869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45900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63" t="e">
        <f t="shared" ref="G32:G91" si="4">D32+E32+F32</f>
        <v>#N/A</v>
      </c>
      <c r="H32" s="26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45931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52" t="e">
        <f t="shared" si="4"/>
        <v>#N/A</v>
      </c>
      <c r="H33" s="253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45962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52" t="e">
        <f t="shared" si="4"/>
        <v>#N/A</v>
      </c>
      <c r="H34" s="253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45992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52" t="e">
        <f t="shared" si="4"/>
        <v>#N/A</v>
      </c>
      <c r="H35" s="253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46023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52" t="e">
        <f t="shared" si="4"/>
        <v>#N/A</v>
      </c>
      <c r="H36" s="253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46054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52" t="e">
        <f t="shared" si="4"/>
        <v>#N/A</v>
      </c>
      <c r="H37" s="253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46082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52" t="e">
        <f t="shared" si="4"/>
        <v>#N/A</v>
      </c>
      <c r="H38" s="253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46113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52" t="e">
        <f t="shared" si="4"/>
        <v>#N/A</v>
      </c>
      <c r="H39" s="253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46143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52" t="e">
        <f t="shared" si="4"/>
        <v>#N/A</v>
      </c>
      <c r="H40" s="253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46174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52" t="e">
        <f t="shared" si="4"/>
        <v>#N/A</v>
      </c>
      <c r="H41" s="253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46204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52" t="e">
        <f t="shared" si="4"/>
        <v>#N/A</v>
      </c>
      <c r="H42" s="253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46235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52" t="e">
        <f t="shared" si="4"/>
        <v>#N/A</v>
      </c>
      <c r="H43" s="253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46266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52" t="e">
        <f t="shared" si="4"/>
        <v>#N/A</v>
      </c>
      <c r="H44" s="253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46296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52" t="e">
        <f t="shared" si="4"/>
        <v>#N/A</v>
      </c>
      <c r="H45" s="253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46327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52" t="e">
        <f t="shared" si="4"/>
        <v>#N/A</v>
      </c>
      <c r="H46" s="253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46357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52" t="e">
        <f t="shared" si="4"/>
        <v>#N/A</v>
      </c>
      <c r="H47" s="253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46388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52" t="e">
        <f t="shared" si="4"/>
        <v>#N/A</v>
      </c>
      <c r="H48" s="253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46419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52" t="e">
        <f t="shared" si="4"/>
        <v>#N/A</v>
      </c>
      <c r="H49" s="253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46447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52" t="e">
        <f t="shared" si="4"/>
        <v>#N/A</v>
      </c>
      <c r="H50" s="253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46478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52" t="e">
        <f t="shared" si="4"/>
        <v>#N/A</v>
      </c>
      <c r="H51" s="253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46508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52" t="e">
        <f t="shared" si="4"/>
        <v>#N/A</v>
      </c>
      <c r="H52" s="253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46539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52" t="e">
        <f t="shared" si="4"/>
        <v>#N/A</v>
      </c>
      <c r="H53" s="253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46569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52" t="e">
        <f t="shared" si="4"/>
        <v>#N/A</v>
      </c>
      <c r="H54" s="253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46600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52" t="e">
        <f t="shared" si="4"/>
        <v>#N/A</v>
      </c>
      <c r="H55" s="253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46631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52" t="e">
        <f t="shared" si="4"/>
        <v>#N/A</v>
      </c>
      <c r="H56" s="253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46661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52" t="e">
        <f t="shared" si="4"/>
        <v>#N/A</v>
      </c>
      <c r="H57" s="253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46692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52" t="e">
        <f t="shared" si="4"/>
        <v>#N/A</v>
      </c>
      <c r="H58" s="253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46722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52" t="e">
        <f t="shared" si="4"/>
        <v>#N/A</v>
      </c>
      <c r="H59" s="253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46753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52" t="e">
        <f t="shared" si="4"/>
        <v>#N/A</v>
      </c>
      <c r="H60" s="253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46784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52" t="e">
        <f t="shared" si="4"/>
        <v>#N/A</v>
      </c>
      <c r="H61" s="253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46813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52" t="e">
        <f t="shared" si="4"/>
        <v>#N/A</v>
      </c>
      <c r="H62" s="253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46844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52" t="e">
        <f t="shared" si="4"/>
        <v>#N/A</v>
      </c>
      <c r="H63" s="253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46874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52" t="e">
        <f t="shared" si="4"/>
        <v>#N/A</v>
      </c>
      <c r="H64" s="253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46905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52" t="e">
        <f t="shared" si="4"/>
        <v>#N/A</v>
      </c>
      <c r="H65" s="253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46935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52" t="e">
        <f t="shared" si="4"/>
        <v>#N/A</v>
      </c>
      <c r="H66" s="253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46966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52" t="e">
        <f t="shared" si="4"/>
        <v>#N/A</v>
      </c>
      <c r="H67" s="253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46997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52" t="e">
        <f t="shared" si="4"/>
        <v>#N/A</v>
      </c>
      <c r="H68" s="253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47027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52" t="e">
        <f t="shared" si="4"/>
        <v>#N/A</v>
      </c>
      <c r="H69" s="253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47058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52" t="e">
        <f t="shared" si="4"/>
        <v>#N/A</v>
      </c>
      <c r="H70" s="253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47088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52" t="e">
        <f t="shared" si="4"/>
        <v>#N/A</v>
      </c>
      <c r="H71" s="253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47119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52" t="e">
        <f t="shared" si="4"/>
        <v>#N/A</v>
      </c>
      <c r="H72" s="253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47150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52" t="e">
        <f t="shared" si="4"/>
        <v>#N/A</v>
      </c>
      <c r="H73" s="253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47178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52" t="e">
        <f t="shared" si="4"/>
        <v>#N/A</v>
      </c>
      <c r="H74" s="253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47209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52" t="e">
        <f t="shared" si="4"/>
        <v>#N/A</v>
      </c>
      <c r="H75" s="253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47239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52" t="e">
        <f t="shared" si="4"/>
        <v>#N/A</v>
      </c>
      <c r="H76" s="253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47270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52" t="e">
        <f t="shared" si="4"/>
        <v>#N/A</v>
      </c>
      <c r="H77" s="253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47300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52" t="e">
        <f t="shared" si="4"/>
        <v>#N/A</v>
      </c>
      <c r="H78" s="253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47331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52" t="e">
        <f t="shared" si="4"/>
        <v>#N/A</v>
      </c>
      <c r="H79" s="253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47362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52" t="e">
        <f t="shared" si="4"/>
        <v>#N/A</v>
      </c>
      <c r="H80" s="253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47392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52" t="e">
        <f t="shared" si="4"/>
        <v>#N/A</v>
      </c>
      <c r="H81" s="253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47423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52" t="e">
        <f t="shared" si="4"/>
        <v>#N/A</v>
      </c>
      <c r="H82" s="253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47453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52" t="e">
        <f t="shared" si="4"/>
        <v>#N/A</v>
      </c>
      <c r="H83" s="253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47484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52" t="e">
        <f t="shared" si="4"/>
        <v>#N/A</v>
      </c>
      <c r="H84" s="253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47515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52" t="e">
        <f t="shared" si="4"/>
        <v>#N/A</v>
      </c>
      <c r="H85" s="253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47543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52" t="e">
        <f t="shared" si="4"/>
        <v>#N/A</v>
      </c>
      <c r="H86" s="253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47574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52" t="e">
        <f t="shared" si="4"/>
        <v>#N/A</v>
      </c>
      <c r="H87" s="253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47604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52" t="e">
        <f t="shared" si="4"/>
        <v>#N/A</v>
      </c>
      <c r="H88" s="253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47635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52" t="e">
        <f t="shared" si="4"/>
        <v>#N/A</v>
      </c>
      <c r="H89" s="253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47665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52" t="e">
        <f t="shared" si="4"/>
        <v>#N/A</v>
      </c>
      <c r="H90" s="253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47696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54" t="e">
        <f t="shared" si="4"/>
        <v>#N/A</v>
      </c>
      <c r="H91" s="255"/>
      <c r="I91" s="134"/>
      <c r="J91" s="134"/>
    </row>
    <row r="92" spans="1:19" ht="16.5" thickBot="1" x14ac:dyDescent="0.25">
      <c r="A92" s="60"/>
      <c r="B92" s="247" t="s">
        <v>3</v>
      </c>
      <c r="C92" s="248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49" t="e">
        <f>SUM(G32:H91)</f>
        <v>#N/A</v>
      </c>
      <c r="H92" s="250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51" t="s">
        <v>5</v>
      </c>
      <c r="F94" s="251"/>
      <c r="G94" s="251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67" t="s">
        <v>69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289"/>
      <c r="H11" s="289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 t="e">
        <f>VLOOKUP(H$2,Лист2!$A:$G,3,0)</f>
        <v>#N/A</v>
      </c>
      <c r="G15" s="289"/>
      <c r="H15" s="289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 t="e">
        <f>PMT(F9/12,F15,-E17)+F13*E17</f>
        <v>#N/A</v>
      </c>
      <c r="G18" s="290"/>
      <c r="H18" s="291"/>
      <c r="I18" s="133"/>
      <c r="J18" s="52"/>
      <c r="K18" s="162" t="str">
        <f>Лист2!A5</f>
        <v>Позитив Нестандарт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Позитив Нестандарт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 t="e">
        <f>G89-E3</f>
        <v>#N/A</v>
      </c>
      <c r="G20" s="292"/>
      <c r="H20" s="292"/>
      <c r="I20" s="1"/>
      <c r="J20" s="53"/>
      <c r="K20" s="162" t="str">
        <f>Лист2!A8</f>
        <v>Позитив Нестандарт СК, 60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e">
        <f>Лист2!#REF!</f>
        <v>#REF!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 t="e">
        <f>E3+F20</f>
        <v>#N/A</v>
      </c>
      <c r="G22" s="289"/>
      <c r="H22" s="289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45900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85" t="e">
        <f>SUM(D29:F29)</f>
        <v>#N/A</v>
      </c>
      <c r="H29" s="285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45931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85" t="e">
        <f t="shared" ref="G30:G88" si="1">SUM(D30:F30)</f>
        <v>#N/A</v>
      </c>
      <c r="H30" s="285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45962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85" t="e">
        <f t="shared" si="1"/>
        <v>#N/A</v>
      </c>
      <c r="H31" s="285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45992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85" t="e">
        <f t="shared" si="1"/>
        <v>#N/A</v>
      </c>
      <c r="H32" s="285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46023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85" t="e">
        <f t="shared" si="1"/>
        <v>#N/A</v>
      </c>
      <c r="H33" s="285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46054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85" t="e">
        <f t="shared" si="1"/>
        <v>#N/A</v>
      </c>
      <c r="H34" s="285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46082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85" t="e">
        <f t="shared" si="1"/>
        <v>#N/A</v>
      </c>
      <c r="H35" s="285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46113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85" t="e">
        <f t="shared" si="1"/>
        <v>#N/A</v>
      </c>
      <c r="H36" s="285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46143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85" t="e">
        <f t="shared" si="1"/>
        <v>#N/A</v>
      </c>
      <c r="H37" s="285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46174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85" t="e">
        <f t="shared" si="1"/>
        <v>#N/A</v>
      </c>
      <c r="H38" s="285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46204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85" t="e">
        <f t="shared" si="1"/>
        <v>#N/A</v>
      </c>
      <c r="H39" s="285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46235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85" t="e">
        <f t="shared" si="1"/>
        <v>#N/A</v>
      </c>
      <c r="H40" s="285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46266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85" t="e">
        <f t="shared" si="1"/>
        <v>#N/A</v>
      </c>
      <c r="H41" s="285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46296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85" t="e">
        <f t="shared" si="1"/>
        <v>#N/A</v>
      </c>
      <c r="H42" s="285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46327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85" t="e">
        <f t="shared" si="1"/>
        <v>#N/A</v>
      </c>
      <c r="H43" s="285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46357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85" t="e">
        <f t="shared" si="1"/>
        <v>#N/A</v>
      </c>
      <c r="H44" s="285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46388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85" t="e">
        <f t="shared" si="1"/>
        <v>#N/A</v>
      </c>
      <c r="H45" s="285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46419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85" t="e">
        <f t="shared" si="1"/>
        <v>#N/A</v>
      </c>
      <c r="H46" s="285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46447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85" t="e">
        <f t="shared" si="1"/>
        <v>#N/A</v>
      </c>
      <c r="H47" s="285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46478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85" t="e">
        <f t="shared" si="1"/>
        <v>#N/A</v>
      </c>
      <c r="H48" s="285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46508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85" t="e">
        <f t="shared" si="1"/>
        <v>#N/A</v>
      </c>
      <c r="H49" s="285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46539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85" t="e">
        <f t="shared" si="1"/>
        <v>#N/A</v>
      </c>
      <c r="H50" s="285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46569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85" t="e">
        <f t="shared" si="1"/>
        <v>#N/A</v>
      </c>
      <c r="H51" s="285"/>
      <c r="I51" s="3"/>
    </row>
    <row r="52" spans="1:11" x14ac:dyDescent="0.2">
      <c r="A52" s="60"/>
      <c r="B52" s="128">
        <v>24</v>
      </c>
      <c r="C52" s="132">
        <f t="shared" ca="1" si="0"/>
        <v>46600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85" t="e">
        <f t="shared" si="1"/>
        <v>#N/A</v>
      </c>
      <c r="H52" s="285"/>
      <c r="I52" s="3"/>
    </row>
    <row r="53" spans="1:11" x14ac:dyDescent="0.2">
      <c r="A53" s="60"/>
      <c r="B53" s="128">
        <v>25</v>
      </c>
      <c r="C53" s="132">
        <f t="shared" ca="1" si="0"/>
        <v>46631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85" t="e">
        <f t="shared" si="1"/>
        <v>#N/A</v>
      </c>
      <c r="H53" s="285"/>
      <c r="I53" s="3"/>
    </row>
    <row r="54" spans="1:11" x14ac:dyDescent="0.2">
      <c r="A54" s="60"/>
      <c r="B54" s="128">
        <v>26</v>
      </c>
      <c r="C54" s="132">
        <f t="shared" ca="1" si="0"/>
        <v>46661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85" t="e">
        <f t="shared" si="1"/>
        <v>#N/A</v>
      </c>
      <c r="H54" s="285"/>
      <c r="I54" s="3"/>
    </row>
    <row r="55" spans="1:11" x14ac:dyDescent="0.2">
      <c r="A55" s="60"/>
      <c r="B55" s="128">
        <v>27</v>
      </c>
      <c r="C55" s="132">
        <f t="shared" ca="1" si="0"/>
        <v>46692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85" t="e">
        <f t="shared" si="1"/>
        <v>#N/A</v>
      </c>
      <c r="H55" s="285"/>
      <c r="I55" s="3"/>
    </row>
    <row r="56" spans="1:11" x14ac:dyDescent="0.2">
      <c r="A56" s="60"/>
      <c r="B56" s="128">
        <v>28</v>
      </c>
      <c r="C56" s="132">
        <f t="shared" ca="1" si="0"/>
        <v>46722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85" t="e">
        <f t="shared" si="1"/>
        <v>#N/A</v>
      </c>
      <c r="H56" s="285"/>
      <c r="I56" s="3"/>
    </row>
    <row r="57" spans="1:11" x14ac:dyDescent="0.2">
      <c r="A57" s="60"/>
      <c r="B57" s="128">
        <v>29</v>
      </c>
      <c r="C57" s="132">
        <f t="shared" ca="1" si="0"/>
        <v>46753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85" t="e">
        <f t="shared" si="1"/>
        <v>#N/A</v>
      </c>
      <c r="H57" s="285"/>
      <c r="I57" s="3"/>
    </row>
    <row r="58" spans="1:11" x14ac:dyDescent="0.2">
      <c r="A58" s="60">
        <v>25</v>
      </c>
      <c r="B58" s="128">
        <v>30</v>
      </c>
      <c r="C58" s="132">
        <f t="shared" ca="1" si="0"/>
        <v>46784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85" t="e">
        <f t="shared" si="1"/>
        <v>#N/A</v>
      </c>
      <c r="H58" s="285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46813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85" t="e">
        <f t="shared" si="1"/>
        <v>#N/A</v>
      </c>
      <c r="H59" s="285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46844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85" t="e">
        <f t="shared" si="1"/>
        <v>#N/A</v>
      </c>
      <c r="H60" s="285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46874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85" t="e">
        <f t="shared" si="1"/>
        <v>#N/A</v>
      </c>
      <c r="H61" s="285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46905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85" t="e">
        <f t="shared" si="1"/>
        <v>#N/A</v>
      </c>
      <c r="H62" s="285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46935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85" t="e">
        <f t="shared" si="1"/>
        <v>#N/A</v>
      </c>
      <c r="H63" s="285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46966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85" t="e">
        <f t="shared" si="1"/>
        <v>#N/A</v>
      </c>
      <c r="H64" s="285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46997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85" t="e">
        <f t="shared" si="1"/>
        <v>#N/A</v>
      </c>
      <c r="H65" s="285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47027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85" t="e">
        <f t="shared" si="1"/>
        <v>#N/A</v>
      </c>
      <c r="H66" s="285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47058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85" t="e">
        <f t="shared" si="1"/>
        <v>#N/A</v>
      </c>
      <c r="H67" s="285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47088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85" t="e">
        <f t="shared" si="1"/>
        <v>#N/A</v>
      </c>
      <c r="H68" s="285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47119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85" t="e">
        <f t="shared" si="1"/>
        <v>#N/A</v>
      </c>
      <c r="H69" s="285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47150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85" t="e">
        <f t="shared" si="1"/>
        <v>#N/A</v>
      </c>
      <c r="H70" s="285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47178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85" t="e">
        <f t="shared" si="1"/>
        <v>#N/A</v>
      </c>
      <c r="H71" s="285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47209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85" t="e">
        <f t="shared" si="1"/>
        <v>#N/A</v>
      </c>
      <c r="H72" s="285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47239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85" t="e">
        <f t="shared" si="1"/>
        <v>#N/A</v>
      </c>
      <c r="H73" s="285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47270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85" t="e">
        <f t="shared" si="1"/>
        <v>#N/A</v>
      </c>
      <c r="H74" s="285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47300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85" t="e">
        <f t="shared" si="1"/>
        <v>#N/A</v>
      </c>
      <c r="H75" s="285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47331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85" t="e">
        <f t="shared" si="1"/>
        <v>#N/A</v>
      </c>
      <c r="H76" s="285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47362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85" t="e">
        <f t="shared" si="1"/>
        <v>#N/A</v>
      </c>
      <c r="H77" s="285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47392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85" t="e">
        <f t="shared" si="1"/>
        <v>#N/A</v>
      </c>
      <c r="H78" s="285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47423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85" t="e">
        <f t="shared" si="1"/>
        <v>#N/A</v>
      </c>
      <c r="H79" s="285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47453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85" t="e">
        <f t="shared" si="1"/>
        <v>#N/A</v>
      </c>
      <c r="H80" s="285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47484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85" t="e">
        <f t="shared" si="1"/>
        <v>#N/A</v>
      </c>
      <c r="H81" s="285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47515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85" t="e">
        <f t="shared" si="1"/>
        <v>#N/A</v>
      </c>
      <c r="H82" s="285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47543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85" t="e">
        <f t="shared" si="1"/>
        <v>#N/A</v>
      </c>
      <c r="H83" s="285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47574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85" t="e">
        <f t="shared" si="1"/>
        <v>#N/A</v>
      </c>
      <c r="H84" s="285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47604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85" t="e">
        <f t="shared" si="1"/>
        <v>#N/A</v>
      </c>
      <c r="H85" s="285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47635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85" t="e">
        <f t="shared" si="1"/>
        <v>#N/A</v>
      </c>
      <c r="H86" s="285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47665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85" t="e">
        <f t="shared" si="1"/>
        <v>#N/A</v>
      </c>
      <c r="H87" s="285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47696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86" t="e">
        <f t="shared" si="1"/>
        <v>#N/A</v>
      </c>
      <c r="H88" s="286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3" t="e">
        <f>SUM(G29:H88)</f>
        <v>#N/A</v>
      </c>
      <c r="H89" s="284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14" ht="12.75" customHeight="1" x14ac:dyDescent="0.2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67" t="s">
        <v>89</v>
      </c>
      <c r="I2" s="268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VLOOKUP(H$2,Лист2!$A:$G,8,0)</f>
        <v>#N/A</v>
      </c>
      <c r="I3" s="272"/>
      <c r="J3" s="50"/>
    </row>
    <row r="4" spans="1:14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14" ht="21" customHeight="1" thickBot="1" x14ac:dyDescent="0.25">
      <c r="A5" s="1"/>
      <c r="B5" s="294" t="s">
        <v>82</v>
      </c>
      <c r="C5" s="295"/>
      <c r="D5" s="295"/>
      <c r="E5" s="296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76" t="s">
        <v>81</v>
      </c>
      <c r="C7" s="277"/>
      <c r="D7" s="277"/>
      <c r="E7" s="278"/>
      <c r="F7" s="13" t="e">
        <f>E19</f>
        <v>#N/A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76" t="str">
        <f>Назви!A5</f>
        <v>Процентна ставка знижена, % річних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76" t="str">
        <f>Назви!A7</f>
        <v>Разовий страховий тариф, %</v>
      </c>
      <c r="C13" s="277">
        <f>Назви!B7</f>
        <v>0</v>
      </c>
      <c r="D13" s="277">
        <f>Назви!C7</f>
        <v>0</v>
      </c>
      <c r="E13" s="278">
        <f>Назви!D7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76" t="str">
        <f>Назви!A9</f>
        <v xml:space="preserve">Щомісячна плата за обслуговування кредитної заборгованості, % </v>
      </c>
      <c r="C15" s="277">
        <f>Назви!B9</f>
        <v>0</v>
      </c>
      <c r="D15" s="277">
        <f>Назви!C9</f>
        <v>0</v>
      </c>
      <c r="E15" s="278">
        <f>Назви!D9</f>
        <v>0</v>
      </c>
      <c r="F15" s="38" t="e">
        <f>VLOOKUP(H$2,Лист2!$A:$G,7,0)</f>
        <v>#N/A</v>
      </c>
      <c r="G15" s="289"/>
      <c r="H15" s="289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76" t="str">
        <f>Назви!A11</f>
        <v>Термін кредитування (міс.)</v>
      </c>
      <c r="C17" s="277">
        <f>Назви!B11</f>
        <v>0</v>
      </c>
      <c r="D17" s="277">
        <f>Назви!C11</f>
        <v>0</v>
      </c>
      <c r="E17" s="278">
        <f>Назви!D11</f>
        <v>0</v>
      </c>
      <c r="F17" s="64" t="e">
        <f>VLOOKUP(H$2,Лист2!$A:$G,3,0)</f>
        <v>#N/A</v>
      </c>
      <c r="G17" s="289"/>
      <c r="H17" s="289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Назви!A14</f>
        <v>Орієнтовний платіж, грн.</v>
      </c>
      <c r="C20" s="280">
        <f>Назви!B14</f>
        <v>0</v>
      </c>
      <c r="D20" s="280">
        <f>Назви!C14</f>
        <v>0</v>
      </c>
      <c r="E20" s="281">
        <f>Назви!D14</f>
        <v>0</v>
      </c>
      <c r="F20" s="13" t="e">
        <f>PMT(F9/12,F17,-E19)+F15*E19</f>
        <v>#N/A</v>
      </c>
      <c r="G20" s="290"/>
      <c r="H20" s="291"/>
      <c r="I20" s="133"/>
      <c r="J20" s="52"/>
      <c r="K20" s="162" t="str">
        <f>Лист2!A5</f>
        <v>Позитив Нестандарт 36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Лист2!A6</f>
        <v>Позитив Нестандарт 24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Назви!A16</f>
        <v>Орієнтовні загальні витрати за кредитом, грн.</v>
      </c>
      <c r="C22" s="280">
        <f>Назви!B16</f>
        <v>0</v>
      </c>
      <c r="D22" s="280">
        <f>Назви!C16</f>
        <v>0</v>
      </c>
      <c r="E22" s="281">
        <f>Назви!D16</f>
        <v>0</v>
      </c>
      <c r="F22" s="13" t="e">
        <f>F91-E3</f>
        <v>#N/A</v>
      </c>
      <c r="G22" s="292"/>
      <c r="H22" s="292"/>
      <c r="I22" s="1"/>
      <c r="J22" s="53"/>
      <c r="K22" s="162" t="str">
        <f>Лист2!A8</f>
        <v>Позитив Нестандарт СК, 60 міс.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Назви!A18</f>
        <v>Орієнтовна загальна вартість кредиту, грн.</v>
      </c>
      <c r="C24" s="280">
        <f>Назви!B18</f>
        <v>0</v>
      </c>
      <c r="D24" s="280">
        <f>Назви!C18</f>
        <v>0</v>
      </c>
      <c r="E24" s="281">
        <f>Назви!D18</f>
        <v>0</v>
      </c>
      <c r="F24" s="13" t="e">
        <f>E3+F22</f>
        <v>#N/A</v>
      </c>
      <c r="G24" s="289"/>
      <c r="H24" s="289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79" t="str">
        <f>Назви!A20</f>
        <v>Реальна річна процентна ставка, %</v>
      </c>
      <c r="C26" s="280"/>
      <c r="D26" s="280"/>
      <c r="E26" s="281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58" t="str">
        <f>Назви!A29</f>
        <v>Орієнтовний порядок повернення кредиту</v>
      </c>
      <c r="C28" s="259"/>
      <c r="D28" s="259"/>
      <c r="E28" s="259"/>
      <c r="F28" s="259"/>
      <c r="G28" s="260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61" t="str">
        <f>Назви!F30</f>
        <v>Сума платежу за розрахунковий період, грн.</v>
      </c>
      <c r="G29" s="26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217">
        <f ca="1">TODAY()</f>
        <v>45869</v>
      </c>
      <c r="D30" s="113"/>
      <c r="E30" s="113"/>
      <c r="F30" s="287" t="e">
        <f>-1*E3</f>
        <v>#N/A</v>
      </c>
      <c r="G30" s="28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">
      <c r="A31" s="1">
        <v>1</v>
      </c>
      <c r="B31" s="129">
        <v>1</v>
      </c>
      <c r="C31" s="136">
        <f ca="1">DATE(YEAR(C30),MONTH(C30)+1,DAY(C30))</f>
        <v>45900</v>
      </c>
      <c r="D31" s="193">
        <f>IFERROR(PPMT($F$9/12,B31,$F$17,-$E$19),0)</f>
        <v>0</v>
      </c>
      <c r="E31" s="194">
        <f>IFERROR(IPMT($F$9/12,B31,$F$17,-$F$7),0)</f>
        <v>0</v>
      </c>
      <c r="F31" s="285">
        <f t="shared" ref="F31:F62" si="0">SUM(D31:E31)</f>
        <v>0</v>
      </c>
      <c r="G31" s="285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">
      <c r="A32" s="1">
        <v>2</v>
      </c>
      <c r="B32" s="128">
        <v>2</v>
      </c>
      <c r="C32" s="132">
        <f t="shared" ref="C32:C90" ca="1" si="1">DATE(YEAR(C31),MONTH(C31)+1,DAY(C31))</f>
        <v>45931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285">
        <f t="shared" si="0"/>
        <v>0</v>
      </c>
      <c r="G32" s="285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">
      <c r="A33" s="1">
        <v>3</v>
      </c>
      <c r="B33" s="128">
        <v>3</v>
      </c>
      <c r="C33" s="132">
        <f t="shared" ca="1" si="1"/>
        <v>45962</v>
      </c>
      <c r="D33" s="195">
        <f t="shared" si="2"/>
        <v>0</v>
      </c>
      <c r="E33" s="197">
        <f>IFERROR(IPMT($F$9/12,B33,$F$17,-$F$7),0)</f>
        <v>0</v>
      </c>
      <c r="F33" s="285">
        <f t="shared" si="0"/>
        <v>0</v>
      </c>
      <c r="G33" s="285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">
      <c r="A34" s="1">
        <v>4</v>
      </c>
      <c r="B34" s="128">
        <v>4</v>
      </c>
      <c r="C34" s="132">
        <f t="shared" ca="1" si="1"/>
        <v>45992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285">
        <f t="shared" si="0"/>
        <v>0</v>
      </c>
      <c r="G34" s="285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">
      <c r="A35" s="1">
        <v>5</v>
      </c>
      <c r="B35" s="128">
        <v>5</v>
      </c>
      <c r="C35" s="132">
        <f t="shared" ca="1" si="1"/>
        <v>46023</v>
      </c>
      <c r="D35" s="195">
        <f t="shared" ref="D35:D48" si="4">IFERROR(PPMT($F$11/12,(B35-3),($F$17-3),-$F$8),0)</f>
        <v>0</v>
      </c>
      <c r="E35" s="197">
        <f t="shared" si="3"/>
        <v>0</v>
      </c>
      <c r="F35" s="285">
        <f t="shared" si="0"/>
        <v>0</v>
      </c>
      <c r="G35" s="285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">
      <c r="A36" s="1">
        <v>6</v>
      </c>
      <c r="B36" s="128">
        <v>6</v>
      </c>
      <c r="C36" s="132">
        <f t="shared" ca="1" si="1"/>
        <v>46054</v>
      </c>
      <c r="D36" s="195">
        <f t="shared" si="4"/>
        <v>0</v>
      </c>
      <c r="E36" s="197">
        <f t="shared" si="3"/>
        <v>0</v>
      </c>
      <c r="F36" s="285">
        <f t="shared" si="0"/>
        <v>0</v>
      </c>
      <c r="G36" s="285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">
      <c r="A37" s="1">
        <v>7</v>
      </c>
      <c r="B37" s="128">
        <v>7</v>
      </c>
      <c r="C37" s="132">
        <f t="shared" ca="1" si="1"/>
        <v>46082</v>
      </c>
      <c r="D37" s="195">
        <f t="shared" si="4"/>
        <v>0</v>
      </c>
      <c r="E37" s="197">
        <f t="shared" si="3"/>
        <v>0</v>
      </c>
      <c r="F37" s="285">
        <f t="shared" si="0"/>
        <v>0</v>
      </c>
      <c r="G37" s="285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">
      <c r="A38" s="1">
        <v>8</v>
      </c>
      <c r="B38" s="128">
        <v>8</v>
      </c>
      <c r="C38" s="132">
        <f t="shared" ca="1" si="1"/>
        <v>46113</v>
      </c>
      <c r="D38" s="195">
        <f t="shared" si="4"/>
        <v>0</v>
      </c>
      <c r="E38" s="197">
        <f t="shared" si="3"/>
        <v>0</v>
      </c>
      <c r="F38" s="285">
        <f t="shared" si="0"/>
        <v>0</v>
      </c>
      <c r="G38" s="285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">
      <c r="A39" s="1">
        <v>9</v>
      </c>
      <c r="B39" s="128">
        <v>9</v>
      </c>
      <c r="C39" s="132">
        <f t="shared" ca="1" si="1"/>
        <v>46143</v>
      </c>
      <c r="D39" s="195">
        <f t="shared" si="4"/>
        <v>0</v>
      </c>
      <c r="E39" s="197">
        <f t="shared" si="3"/>
        <v>0</v>
      </c>
      <c r="F39" s="285">
        <f t="shared" si="0"/>
        <v>0</v>
      </c>
      <c r="G39" s="285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">
      <c r="A40" s="1">
        <v>10</v>
      </c>
      <c r="B40" s="128">
        <v>10</v>
      </c>
      <c r="C40" s="132">
        <f t="shared" ca="1" si="1"/>
        <v>46174</v>
      </c>
      <c r="D40" s="195">
        <f t="shared" si="4"/>
        <v>0</v>
      </c>
      <c r="E40" s="197">
        <f t="shared" si="3"/>
        <v>0</v>
      </c>
      <c r="F40" s="285">
        <f t="shared" si="0"/>
        <v>0</v>
      </c>
      <c r="G40" s="285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">
      <c r="A41" s="1">
        <v>22</v>
      </c>
      <c r="B41" s="128">
        <v>11</v>
      </c>
      <c r="C41" s="132">
        <f t="shared" ca="1" si="1"/>
        <v>46204</v>
      </c>
      <c r="D41" s="195">
        <f t="shared" si="4"/>
        <v>0</v>
      </c>
      <c r="E41" s="197">
        <f t="shared" si="3"/>
        <v>0</v>
      </c>
      <c r="F41" s="285">
        <f t="shared" si="0"/>
        <v>0</v>
      </c>
      <c r="G41" s="285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">
      <c r="A42" s="1">
        <v>22</v>
      </c>
      <c r="B42" s="128">
        <v>12</v>
      </c>
      <c r="C42" s="132">
        <f t="shared" ca="1" si="1"/>
        <v>46235</v>
      </c>
      <c r="D42" s="195">
        <f t="shared" si="4"/>
        <v>0</v>
      </c>
      <c r="E42" s="197">
        <f t="shared" si="3"/>
        <v>0</v>
      </c>
      <c r="F42" s="285">
        <f t="shared" si="0"/>
        <v>0</v>
      </c>
      <c r="G42" s="285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">
      <c r="A43" s="1">
        <v>13</v>
      </c>
      <c r="B43" s="128">
        <v>13</v>
      </c>
      <c r="C43" s="132">
        <f t="shared" ca="1" si="1"/>
        <v>46266</v>
      </c>
      <c r="D43" s="195">
        <f t="shared" si="4"/>
        <v>0</v>
      </c>
      <c r="E43" s="197">
        <f t="shared" si="3"/>
        <v>0</v>
      </c>
      <c r="F43" s="285">
        <f t="shared" si="0"/>
        <v>0</v>
      </c>
      <c r="G43" s="285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">
      <c r="A44" s="1">
        <v>14</v>
      </c>
      <c r="B44" s="128">
        <v>14</v>
      </c>
      <c r="C44" s="132">
        <f t="shared" ca="1" si="1"/>
        <v>46296</v>
      </c>
      <c r="D44" s="195">
        <f t="shared" si="4"/>
        <v>0</v>
      </c>
      <c r="E44" s="197">
        <f t="shared" si="3"/>
        <v>0</v>
      </c>
      <c r="F44" s="285">
        <f t="shared" si="0"/>
        <v>0</v>
      </c>
      <c r="G44" s="285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">
      <c r="A45" s="1">
        <v>15</v>
      </c>
      <c r="B45" s="128">
        <v>15</v>
      </c>
      <c r="C45" s="132">
        <f t="shared" ca="1" si="1"/>
        <v>46327</v>
      </c>
      <c r="D45" s="195">
        <f t="shared" si="4"/>
        <v>0</v>
      </c>
      <c r="E45" s="197">
        <f t="shared" si="3"/>
        <v>0</v>
      </c>
      <c r="F45" s="285">
        <f t="shared" si="0"/>
        <v>0</v>
      </c>
      <c r="G45" s="285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">
      <c r="A46" s="1">
        <v>16</v>
      </c>
      <c r="B46" s="128">
        <v>16</v>
      </c>
      <c r="C46" s="132">
        <f t="shared" ca="1" si="1"/>
        <v>46357</v>
      </c>
      <c r="D46" s="195">
        <f t="shared" si="4"/>
        <v>0</v>
      </c>
      <c r="E46" s="197">
        <f t="shared" si="3"/>
        <v>0</v>
      </c>
      <c r="F46" s="285">
        <f t="shared" si="0"/>
        <v>0</v>
      </c>
      <c r="G46" s="285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">
      <c r="A47" s="1">
        <v>22</v>
      </c>
      <c r="B47" s="128">
        <v>17</v>
      </c>
      <c r="C47" s="132">
        <f t="shared" ca="1" si="1"/>
        <v>46388</v>
      </c>
      <c r="D47" s="195">
        <f t="shared" si="4"/>
        <v>0</v>
      </c>
      <c r="E47" s="197">
        <f t="shared" si="3"/>
        <v>0</v>
      </c>
      <c r="F47" s="285">
        <f t="shared" si="0"/>
        <v>0</v>
      </c>
      <c r="G47" s="285"/>
      <c r="H47" s="3"/>
      <c r="I47" s="3"/>
      <c r="J47" s="162"/>
      <c r="K47" s="162"/>
      <c r="L47" s="122"/>
      <c r="AC47" s="4"/>
    </row>
    <row r="48" spans="1:29" x14ac:dyDescent="0.2">
      <c r="A48" s="1">
        <v>22</v>
      </c>
      <c r="B48" s="128">
        <v>18</v>
      </c>
      <c r="C48" s="132">
        <f t="shared" ca="1" si="1"/>
        <v>46419</v>
      </c>
      <c r="D48" s="195">
        <f t="shared" si="4"/>
        <v>0</v>
      </c>
      <c r="E48" s="197">
        <f t="shared" si="3"/>
        <v>0</v>
      </c>
      <c r="F48" s="285">
        <f t="shared" si="0"/>
        <v>0</v>
      </c>
      <c r="G48" s="285"/>
      <c r="H48" s="3"/>
      <c r="I48" s="3"/>
      <c r="J48" s="162"/>
      <c r="L48" s="122"/>
      <c r="AC48" s="4"/>
    </row>
    <row r="49" spans="1:29" x14ac:dyDescent="0.2">
      <c r="A49" s="1">
        <v>19</v>
      </c>
      <c r="B49" s="128">
        <v>19</v>
      </c>
      <c r="C49" s="132">
        <f t="shared" ca="1" si="1"/>
        <v>46447</v>
      </c>
      <c r="D49" s="195">
        <f t="shared" si="2"/>
        <v>0</v>
      </c>
      <c r="E49" s="197">
        <f t="shared" ref="E49:E90" si="5">IFERROR(IPMT($F$9/12,B49,$F$17,-$F$7),0)</f>
        <v>0</v>
      </c>
      <c r="F49" s="285">
        <f t="shared" si="0"/>
        <v>0</v>
      </c>
      <c r="G49" s="285"/>
      <c r="H49" s="3"/>
      <c r="I49" s="3"/>
      <c r="J49" s="162"/>
      <c r="L49" s="122"/>
      <c r="AC49" s="4"/>
    </row>
    <row r="50" spans="1:29" x14ac:dyDescent="0.2">
      <c r="A50" s="1">
        <v>20</v>
      </c>
      <c r="B50" s="128">
        <v>20</v>
      </c>
      <c r="C50" s="132">
        <f t="shared" ca="1" si="1"/>
        <v>46478</v>
      </c>
      <c r="D50" s="195">
        <f t="shared" si="2"/>
        <v>0</v>
      </c>
      <c r="E50" s="197">
        <f t="shared" si="5"/>
        <v>0</v>
      </c>
      <c r="F50" s="285">
        <f t="shared" si="0"/>
        <v>0</v>
      </c>
      <c r="G50" s="285"/>
      <c r="H50" s="3"/>
      <c r="I50" s="3"/>
      <c r="J50" s="162"/>
      <c r="L50" s="122"/>
      <c r="AC50" s="4"/>
    </row>
    <row r="51" spans="1:29" x14ac:dyDescent="0.2">
      <c r="A51" s="60">
        <v>21</v>
      </c>
      <c r="B51" s="128">
        <v>21</v>
      </c>
      <c r="C51" s="132">
        <f t="shared" ca="1" si="1"/>
        <v>46508</v>
      </c>
      <c r="D51" s="195">
        <f t="shared" si="2"/>
        <v>0</v>
      </c>
      <c r="E51" s="197">
        <f t="shared" si="5"/>
        <v>0</v>
      </c>
      <c r="F51" s="285">
        <f t="shared" si="0"/>
        <v>0</v>
      </c>
      <c r="G51" s="285"/>
      <c r="H51" s="3"/>
      <c r="I51" s="3"/>
      <c r="J51" s="162"/>
      <c r="L51" s="122"/>
      <c r="AC51" s="4"/>
    </row>
    <row r="52" spans="1:29" x14ac:dyDescent="0.2">
      <c r="A52" s="60">
        <v>22</v>
      </c>
      <c r="B52" s="128">
        <v>22</v>
      </c>
      <c r="C52" s="132">
        <f t="shared" ca="1" si="1"/>
        <v>46539</v>
      </c>
      <c r="D52" s="195">
        <f t="shared" si="2"/>
        <v>0</v>
      </c>
      <c r="E52" s="197">
        <f t="shared" si="5"/>
        <v>0</v>
      </c>
      <c r="F52" s="285">
        <f t="shared" si="0"/>
        <v>0</v>
      </c>
      <c r="G52" s="285"/>
      <c r="H52" s="3"/>
      <c r="I52" s="3"/>
      <c r="J52" s="4"/>
      <c r="L52" s="122"/>
      <c r="AC52" s="4"/>
    </row>
    <row r="53" spans="1:29" x14ac:dyDescent="0.2">
      <c r="A53" s="60">
        <v>25</v>
      </c>
      <c r="B53" s="128">
        <v>23</v>
      </c>
      <c r="C53" s="132">
        <f t="shared" ca="1" si="1"/>
        <v>46569</v>
      </c>
      <c r="D53" s="195">
        <f t="shared" si="2"/>
        <v>0</v>
      </c>
      <c r="E53" s="197">
        <f t="shared" si="5"/>
        <v>0</v>
      </c>
      <c r="F53" s="285">
        <f t="shared" si="0"/>
        <v>0</v>
      </c>
      <c r="G53" s="285"/>
      <c r="H53" s="3"/>
      <c r="I53" s="3"/>
      <c r="J53" s="4"/>
      <c r="L53" s="122"/>
      <c r="AC53" s="4"/>
    </row>
    <row r="54" spans="1:29" x14ac:dyDescent="0.2">
      <c r="A54" s="60"/>
      <c r="B54" s="128">
        <v>24</v>
      </c>
      <c r="C54" s="132">
        <f t="shared" ca="1" si="1"/>
        <v>46600</v>
      </c>
      <c r="D54" s="195">
        <f t="shared" si="2"/>
        <v>0</v>
      </c>
      <c r="E54" s="197">
        <f t="shared" si="5"/>
        <v>0</v>
      </c>
      <c r="F54" s="285">
        <f t="shared" si="0"/>
        <v>0</v>
      </c>
      <c r="G54" s="285"/>
      <c r="H54" s="3"/>
      <c r="I54" s="3"/>
      <c r="J54" s="4"/>
      <c r="L54" s="122"/>
      <c r="AC54" s="4"/>
    </row>
    <row r="55" spans="1:29" x14ac:dyDescent="0.2">
      <c r="A55" s="60"/>
      <c r="B55" s="128">
        <v>25</v>
      </c>
      <c r="C55" s="132">
        <f t="shared" ca="1" si="1"/>
        <v>46631</v>
      </c>
      <c r="D55" s="195">
        <f t="shared" si="2"/>
        <v>0</v>
      </c>
      <c r="E55" s="197">
        <f t="shared" si="5"/>
        <v>0</v>
      </c>
      <c r="F55" s="285">
        <f t="shared" si="0"/>
        <v>0</v>
      </c>
      <c r="G55" s="285"/>
      <c r="H55" s="3"/>
      <c r="I55" s="3"/>
      <c r="J55" s="4"/>
      <c r="L55" s="122"/>
      <c r="AC55" s="4"/>
    </row>
    <row r="56" spans="1:29" x14ac:dyDescent="0.2">
      <c r="A56" s="60"/>
      <c r="B56" s="128">
        <v>26</v>
      </c>
      <c r="C56" s="132">
        <f t="shared" ca="1" si="1"/>
        <v>46661</v>
      </c>
      <c r="D56" s="195">
        <f t="shared" si="2"/>
        <v>0</v>
      </c>
      <c r="E56" s="197">
        <f t="shared" si="5"/>
        <v>0</v>
      </c>
      <c r="F56" s="285">
        <f t="shared" si="0"/>
        <v>0</v>
      </c>
      <c r="G56" s="285"/>
      <c r="H56" s="3"/>
      <c r="I56" s="3"/>
      <c r="J56" s="4"/>
      <c r="L56" s="122"/>
      <c r="AC56" s="4"/>
    </row>
    <row r="57" spans="1:29" x14ac:dyDescent="0.2">
      <c r="A57" s="60"/>
      <c r="B57" s="128">
        <v>27</v>
      </c>
      <c r="C57" s="132">
        <f t="shared" ca="1" si="1"/>
        <v>46692</v>
      </c>
      <c r="D57" s="195">
        <f t="shared" si="2"/>
        <v>0</v>
      </c>
      <c r="E57" s="197">
        <f t="shared" si="5"/>
        <v>0</v>
      </c>
      <c r="F57" s="285">
        <f t="shared" si="0"/>
        <v>0</v>
      </c>
      <c r="G57" s="285"/>
      <c r="H57" s="3"/>
      <c r="I57" s="3"/>
      <c r="J57" s="4"/>
      <c r="L57" s="122"/>
      <c r="AC57" s="4"/>
    </row>
    <row r="58" spans="1:29" x14ac:dyDescent="0.2">
      <c r="A58" s="60"/>
      <c r="B58" s="128">
        <v>28</v>
      </c>
      <c r="C58" s="132">
        <f t="shared" ca="1" si="1"/>
        <v>46722</v>
      </c>
      <c r="D58" s="195">
        <f t="shared" si="2"/>
        <v>0</v>
      </c>
      <c r="E58" s="197">
        <f t="shared" si="5"/>
        <v>0</v>
      </c>
      <c r="F58" s="285">
        <f t="shared" si="0"/>
        <v>0</v>
      </c>
      <c r="G58" s="285"/>
      <c r="H58" s="3"/>
      <c r="I58" s="3"/>
      <c r="J58" s="4"/>
      <c r="L58" s="122"/>
      <c r="AC58" s="4"/>
    </row>
    <row r="59" spans="1:29" x14ac:dyDescent="0.2">
      <c r="A59" s="60"/>
      <c r="B59" s="128">
        <v>29</v>
      </c>
      <c r="C59" s="132">
        <f t="shared" ca="1" si="1"/>
        <v>46753</v>
      </c>
      <c r="D59" s="195">
        <f t="shared" si="2"/>
        <v>0</v>
      </c>
      <c r="E59" s="197">
        <f t="shared" si="5"/>
        <v>0</v>
      </c>
      <c r="F59" s="285">
        <f t="shared" si="0"/>
        <v>0</v>
      </c>
      <c r="G59" s="285"/>
      <c r="H59" s="3"/>
      <c r="I59" s="3"/>
      <c r="J59" s="4"/>
      <c r="L59" s="122"/>
      <c r="AC59" s="4"/>
    </row>
    <row r="60" spans="1:29" x14ac:dyDescent="0.2">
      <c r="A60" s="60">
        <v>25</v>
      </c>
      <c r="B60" s="128">
        <v>30</v>
      </c>
      <c r="C60" s="132">
        <f t="shared" ca="1" si="1"/>
        <v>46784</v>
      </c>
      <c r="D60" s="195">
        <f t="shared" si="2"/>
        <v>0</v>
      </c>
      <c r="E60" s="197">
        <f t="shared" si="5"/>
        <v>0</v>
      </c>
      <c r="F60" s="285">
        <f t="shared" si="0"/>
        <v>0</v>
      </c>
      <c r="G60" s="285"/>
      <c r="H60" s="134"/>
      <c r="I60" s="134"/>
      <c r="J60" s="4"/>
      <c r="L60" s="122"/>
      <c r="AC60" s="4"/>
    </row>
    <row r="61" spans="1:29" x14ac:dyDescent="0.2">
      <c r="A61" s="60"/>
      <c r="B61" s="128">
        <v>31</v>
      </c>
      <c r="C61" s="132">
        <f t="shared" ca="1" si="1"/>
        <v>46813</v>
      </c>
      <c r="D61" s="195">
        <f t="shared" si="2"/>
        <v>0</v>
      </c>
      <c r="E61" s="197">
        <f t="shared" si="5"/>
        <v>0</v>
      </c>
      <c r="F61" s="285">
        <f t="shared" si="0"/>
        <v>0</v>
      </c>
      <c r="G61" s="285"/>
      <c r="H61" s="134"/>
      <c r="I61" s="134"/>
      <c r="J61" s="4"/>
      <c r="L61" s="122"/>
      <c r="AC61" s="4"/>
    </row>
    <row r="62" spans="1:29" x14ac:dyDescent="0.2">
      <c r="A62" s="60"/>
      <c r="B62" s="128">
        <v>32</v>
      </c>
      <c r="C62" s="132">
        <f t="shared" ca="1" si="1"/>
        <v>46844</v>
      </c>
      <c r="D62" s="195">
        <f t="shared" si="2"/>
        <v>0</v>
      </c>
      <c r="E62" s="197">
        <f t="shared" si="5"/>
        <v>0</v>
      </c>
      <c r="F62" s="285">
        <f t="shared" si="0"/>
        <v>0</v>
      </c>
      <c r="G62" s="285"/>
      <c r="H62" s="134"/>
      <c r="I62" s="134"/>
      <c r="J62" s="4"/>
      <c r="L62" s="122"/>
      <c r="AC62" s="4"/>
    </row>
    <row r="63" spans="1:29" x14ac:dyDescent="0.2">
      <c r="A63" s="60"/>
      <c r="B63" s="128">
        <v>33</v>
      </c>
      <c r="C63" s="132">
        <f t="shared" ca="1" si="1"/>
        <v>46874</v>
      </c>
      <c r="D63" s="195">
        <f t="shared" si="2"/>
        <v>0</v>
      </c>
      <c r="E63" s="197">
        <f t="shared" si="5"/>
        <v>0</v>
      </c>
      <c r="F63" s="285">
        <f t="shared" ref="F63:F90" si="6">SUM(D63:E63)</f>
        <v>0</v>
      </c>
      <c r="G63" s="285"/>
      <c r="H63" s="134"/>
      <c r="I63" s="134"/>
      <c r="J63" s="4"/>
      <c r="L63" s="122"/>
      <c r="AC63" s="4"/>
    </row>
    <row r="64" spans="1:29" x14ac:dyDescent="0.2">
      <c r="A64" s="60"/>
      <c r="B64" s="128">
        <v>34</v>
      </c>
      <c r="C64" s="132">
        <f t="shared" ca="1" si="1"/>
        <v>46905</v>
      </c>
      <c r="D64" s="195">
        <f t="shared" si="2"/>
        <v>0</v>
      </c>
      <c r="E64" s="197">
        <f t="shared" si="5"/>
        <v>0</v>
      </c>
      <c r="F64" s="285">
        <f t="shared" si="6"/>
        <v>0</v>
      </c>
      <c r="G64" s="285"/>
      <c r="H64" s="134"/>
      <c r="I64" s="134"/>
      <c r="J64" s="4"/>
      <c r="L64" s="122"/>
      <c r="AC64" s="4"/>
    </row>
    <row r="65" spans="1:29" x14ac:dyDescent="0.2">
      <c r="A65" s="60"/>
      <c r="B65" s="128">
        <v>35</v>
      </c>
      <c r="C65" s="132">
        <f t="shared" ca="1" si="1"/>
        <v>46935</v>
      </c>
      <c r="D65" s="195">
        <f t="shared" si="2"/>
        <v>0</v>
      </c>
      <c r="E65" s="197">
        <f t="shared" si="5"/>
        <v>0</v>
      </c>
      <c r="F65" s="285">
        <f t="shared" si="6"/>
        <v>0</v>
      </c>
      <c r="G65" s="285"/>
      <c r="H65" s="134"/>
      <c r="I65" s="134"/>
      <c r="J65" s="4"/>
      <c r="L65" s="122"/>
      <c r="AC65" s="4"/>
    </row>
    <row r="66" spans="1:29" x14ac:dyDescent="0.2">
      <c r="A66" s="60"/>
      <c r="B66" s="128">
        <v>36</v>
      </c>
      <c r="C66" s="132">
        <f t="shared" ca="1" si="1"/>
        <v>46966</v>
      </c>
      <c r="D66" s="195">
        <f t="shared" si="2"/>
        <v>0</v>
      </c>
      <c r="E66" s="197">
        <f t="shared" si="5"/>
        <v>0</v>
      </c>
      <c r="F66" s="285">
        <f t="shared" si="6"/>
        <v>0</v>
      </c>
      <c r="G66" s="285"/>
      <c r="H66" s="134"/>
      <c r="I66" s="134"/>
      <c r="J66" s="4"/>
      <c r="L66" s="122"/>
      <c r="AC66" s="4"/>
    </row>
    <row r="67" spans="1:29" x14ac:dyDescent="0.2">
      <c r="A67" s="60"/>
      <c r="B67" s="128">
        <v>37</v>
      </c>
      <c r="C67" s="132">
        <f t="shared" ca="1" si="1"/>
        <v>46997</v>
      </c>
      <c r="D67" s="195">
        <f t="shared" si="2"/>
        <v>0</v>
      </c>
      <c r="E67" s="197">
        <f t="shared" si="5"/>
        <v>0</v>
      </c>
      <c r="F67" s="285">
        <f t="shared" si="6"/>
        <v>0</v>
      </c>
      <c r="G67" s="285"/>
      <c r="H67" s="134"/>
      <c r="I67" s="134"/>
      <c r="J67" s="4"/>
      <c r="L67" s="122"/>
      <c r="AC67" s="4"/>
    </row>
    <row r="68" spans="1:29" x14ac:dyDescent="0.2">
      <c r="A68" s="60"/>
      <c r="B68" s="128">
        <v>38</v>
      </c>
      <c r="C68" s="132">
        <f t="shared" ca="1" si="1"/>
        <v>47027</v>
      </c>
      <c r="D68" s="195">
        <f t="shared" si="2"/>
        <v>0</v>
      </c>
      <c r="E68" s="197">
        <f t="shared" si="5"/>
        <v>0</v>
      </c>
      <c r="F68" s="285">
        <f t="shared" si="6"/>
        <v>0</v>
      </c>
      <c r="G68" s="285"/>
      <c r="H68" s="134"/>
      <c r="I68" s="134"/>
      <c r="J68" s="4"/>
      <c r="L68" s="122"/>
      <c r="AC68" s="4"/>
    </row>
    <row r="69" spans="1:29" x14ac:dyDescent="0.2">
      <c r="A69" s="60"/>
      <c r="B69" s="128">
        <v>39</v>
      </c>
      <c r="C69" s="132">
        <f t="shared" ca="1" si="1"/>
        <v>47058</v>
      </c>
      <c r="D69" s="195">
        <f t="shared" si="2"/>
        <v>0</v>
      </c>
      <c r="E69" s="197">
        <f t="shared" si="5"/>
        <v>0</v>
      </c>
      <c r="F69" s="285">
        <f t="shared" si="6"/>
        <v>0</v>
      </c>
      <c r="G69" s="285"/>
      <c r="H69" s="134"/>
      <c r="I69" s="134"/>
      <c r="J69" s="4"/>
      <c r="L69" s="122"/>
      <c r="AC69" s="4"/>
    </row>
    <row r="70" spans="1:29" x14ac:dyDescent="0.2">
      <c r="A70" s="60"/>
      <c r="B70" s="128">
        <v>40</v>
      </c>
      <c r="C70" s="132">
        <f t="shared" ca="1" si="1"/>
        <v>47088</v>
      </c>
      <c r="D70" s="195">
        <f t="shared" si="2"/>
        <v>0</v>
      </c>
      <c r="E70" s="197">
        <f t="shared" si="5"/>
        <v>0</v>
      </c>
      <c r="F70" s="285">
        <f t="shared" si="6"/>
        <v>0</v>
      </c>
      <c r="G70" s="285"/>
      <c r="H70" s="134"/>
      <c r="I70" s="134"/>
      <c r="J70" s="4"/>
      <c r="L70" s="122"/>
      <c r="AC70" s="4"/>
    </row>
    <row r="71" spans="1:29" x14ac:dyDescent="0.2">
      <c r="A71" s="60"/>
      <c r="B71" s="128">
        <v>41</v>
      </c>
      <c r="C71" s="132">
        <f t="shared" ca="1" si="1"/>
        <v>47119</v>
      </c>
      <c r="D71" s="195">
        <f t="shared" si="2"/>
        <v>0</v>
      </c>
      <c r="E71" s="197">
        <f t="shared" si="5"/>
        <v>0</v>
      </c>
      <c r="F71" s="285">
        <f t="shared" si="6"/>
        <v>0</v>
      </c>
      <c r="G71" s="285"/>
      <c r="H71" s="134"/>
      <c r="I71" s="134"/>
      <c r="J71" s="4"/>
      <c r="L71" s="122"/>
      <c r="AC71" s="4"/>
    </row>
    <row r="72" spans="1:29" x14ac:dyDescent="0.2">
      <c r="A72" s="60"/>
      <c r="B72" s="128">
        <v>42</v>
      </c>
      <c r="C72" s="132">
        <f t="shared" ca="1" si="1"/>
        <v>47150</v>
      </c>
      <c r="D72" s="195">
        <f t="shared" si="2"/>
        <v>0</v>
      </c>
      <c r="E72" s="197">
        <f t="shared" si="5"/>
        <v>0</v>
      </c>
      <c r="F72" s="285">
        <f t="shared" si="6"/>
        <v>0</v>
      </c>
      <c r="G72" s="285"/>
      <c r="H72" s="134"/>
      <c r="I72" s="134"/>
      <c r="J72" s="4"/>
      <c r="L72" s="122"/>
      <c r="AC72" s="4"/>
    </row>
    <row r="73" spans="1:29" x14ac:dyDescent="0.2">
      <c r="A73" s="60"/>
      <c r="B73" s="128">
        <v>43</v>
      </c>
      <c r="C73" s="132">
        <f t="shared" ca="1" si="1"/>
        <v>47178</v>
      </c>
      <c r="D73" s="195">
        <f t="shared" si="2"/>
        <v>0</v>
      </c>
      <c r="E73" s="197">
        <f t="shared" si="5"/>
        <v>0</v>
      </c>
      <c r="F73" s="285">
        <f t="shared" si="6"/>
        <v>0</v>
      </c>
      <c r="G73" s="285"/>
      <c r="H73" s="134"/>
      <c r="I73" s="134"/>
      <c r="J73" s="4"/>
      <c r="L73" s="122"/>
      <c r="AC73" s="4"/>
    </row>
    <row r="74" spans="1:29" x14ac:dyDescent="0.2">
      <c r="A74" s="60"/>
      <c r="B74" s="128">
        <v>44</v>
      </c>
      <c r="C74" s="132">
        <f t="shared" ca="1" si="1"/>
        <v>47209</v>
      </c>
      <c r="D74" s="195">
        <f t="shared" si="2"/>
        <v>0</v>
      </c>
      <c r="E74" s="197">
        <f t="shared" si="5"/>
        <v>0</v>
      </c>
      <c r="F74" s="285">
        <f t="shared" si="6"/>
        <v>0</v>
      </c>
      <c r="G74" s="285"/>
      <c r="H74" s="134"/>
      <c r="I74" s="134"/>
      <c r="J74" s="4"/>
      <c r="L74" s="122"/>
      <c r="AC74" s="4"/>
    </row>
    <row r="75" spans="1:29" x14ac:dyDescent="0.2">
      <c r="A75" s="60"/>
      <c r="B75" s="128">
        <v>45</v>
      </c>
      <c r="C75" s="132">
        <f t="shared" ca="1" si="1"/>
        <v>47239</v>
      </c>
      <c r="D75" s="195">
        <f t="shared" si="2"/>
        <v>0</v>
      </c>
      <c r="E75" s="197">
        <f t="shared" si="5"/>
        <v>0</v>
      </c>
      <c r="F75" s="285">
        <f t="shared" si="6"/>
        <v>0</v>
      </c>
      <c r="G75" s="285"/>
      <c r="H75" s="134"/>
      <c r="I75" s="134"/>
      <c r="J75" s="4"/>
      <c r="L75" s="122"/>
      <c r="AC75" s="4"/>
    </row>
    <row r="76" spans="1:29" x14ac:dyDescent="0.2">
      <c r="A76" s="60"/>
      <c r="B76" s="128">
        <v>46</v>
      </c>
      <c r="C76" s="132">
        <f t="shared" ca="1" si="1"/>
        <v>47270</v>
      </c>
      <c r="D76" s="195">
        <f t="shared" si="2"/>
        <v>0</v>
      </c>
      <c r="E76" s="197">
        <f t="shared" si="5"/>
        <v>0</v>
      </c>
      <c r="F76" s="285">
        <f t="shared" si="6"/>
        <v>0</v>
      </c>
      <c r="G76" s="285"/>
      <c r="H76" s="134"/>
      <c r="I76" s="134"/>
      <c r="J76" s="4"/>
      <c r="L76" s="122"/>
      <c r="AC76" s="4"/>
    </row>
    <row r="77" spans="1:29" x14ac:dyDescent="0.2">
      <c r="A77" s="60"/>
      <c r="B77" s="128">
        <v>47</v>
      </c>
      <c r="C77" s="132">
        <f t="shared" ca="1" si="1"/>
        <v>47300</v>
      </c>
      <c r="D77" s="195">
        <f t="shared" si="2"/>
        <v>0</v>
      </c>
      <c r="E77" s="197">
        <f t="shared" si="5"/>
        <v>0</v>
      </c>
      <c r="F77" s="285">
        <f t="shared" si="6"/>
        <v>0</v>
      </c>
      <c r="G77" s="285"/>
      <c r="H77" s="134"/>
      <c r="I77" s="134"/>
      <c r="J77" s="4"/>
      <c r="L77" s="122"/>
      <c r="AC77" s="4"/>
    </row>
    <row r="78" spans="1:29" x14ac:dyDescent="0.2">
      <c r="A78" s="60"/>
      <c r="B78" s="128">
        <v>48</v>
      </c>
      <c r="C78" s="132">
        <f t="shared" ca="1" si="1"/>
        <v>47331</v>
      </c>
      <c r="D78" s="195">
        <f t="shared" si="2"/>
        <v>0</v>
      </c>
      <c r="E78" s="197">
        <f t="shared" si="5"/>
        <v>0</v>
      </c>
      <c r="F78" s="285">
        <f t="shared" si="6"/>
        <v>0</v>
      </c>
      <c r="G78" s="285"/>
      <c r="H78" s="134"/>
      <c r="I78" s="134"/>
      <c r="J78" s="4"/>
      <c r="L78" s="122"/>
      <c r="AC78" s="4"/>
    </row>
    <row r="79" spans="1:29" x14ac:dyDescent="0.2">
      <c r="A79" s="60"/>
      <c r="B79" s="128">
        <v>49</v>
      </c>
      <c r="C79" s="132">
        <f t="shared" ca="1" si="1"/>
        <v>47362</v>
      </c>
      <c r="D79" s="195">
        <f t="shared" si="2"/>
        <v>0</v>
      </c>
      <c r="E79" s="197">
        <f t="shared" si="5"/>
        <v>0</v>
      </c>
      <c r="F79" s="285">
        <f t="shared" si="6"/>
        <v>0</v>
      </c>
      <c r="G79" s="285"/>
      <c r="H79" s="134"/>
      <c r="I79" s="134"/>
      <c r="J79" s="4"/>
      <c r="L79" s="122"/>
      <c r="AC79" s="4"/>
    </row>
    <row r="80" spans="1:29" x14ac:dyDescent="0.2">
      <c r="A80" s="60"/>
      <c r="B80" s="128">
        <v>50</v>
      </c>
      <c r="C80" s="132">
        <f t="shared" ca="1" si="1"/>
        <v>47392</v>
      </c>
      <c r="D80" s="195">
        <f t="shared" si="2"/>
        <v>0</v>
      </c>
      <c r="E80" s="197">
        <f t="shared" si="5"/>
        <v>0</v>
      </c>
      <c r="F80" s="285">
        <f t="shared" si="6"/>
        <v>0</v>
      </c>
      <c r="G80" s="285"/>
      <c r="H80" s="134"/>
      <c r="I80" s="134"/>
      <c r="J80" s="4"/>
      <c r="L80" s="122"/>
      <c r="AC80" s="4"/>
    </row>
    <row r="81" spans="1:29" x14ac:dyDescent="0.2">
      <c r="A81" s="60"/>
      <c r="B81" s="128">
        <v>51</v>
      </c>
      <c r="C81" s="132">
        <f t="shared" ca="1" si="1"/>
        <v>47423</v>
      </c>
      <c r="D81" s="195">
        <f t="shared" si="2"/>
        <v>0</v>
      </c>
      <c r="E81" s="197">
        <f t="shared" si="5"/>
        <v>0</v>
      </c>
      <c r="F81" s="285">
        <f t="shared" si="6"/>
        <v>0</v>
      </c>
      <c r="G81" s="285"/>
      <c r="H81" s="134"/>
      <c r="I81" s="134"/>
      <c r="J81" s="4"/>
      <c r="L81" s="122"/>
      <c r="AC81" s="4"/>
    </row>
    <row r="82" spans="1:29" x14ac:dyDescent="0.2">
      <c r="A82" s="60"/>
      <c r="B82" s="128">
        <v>52</v>
      </c>
      <c r="C82" s="132">
        <f t="shared" ca="1" si="1"/>
        <v>47453</v>
      </c>
      <c r="D82" s="195">
        <f t="shared" si="2"/>
        <v>0</v>
      </c>
      <c r="E82" s="197">
        <f t="shared" si="5"/>
        <v>0</v>
      </c>
      <c r="F82" s="285">
        <f t="shared" si="6"/>
        <v>0</v>
      </c>
      <c r="G82" s="285"/>
      <c r="H82" s="134"/>
      <c r="I82" s="134"/>
      <c r="J82" s="4"/>
      <c r="L82" s="122"/>
      <c r="AC82" s="4"/>
    </row>
    <row r="83" spans="1:29" x14ac:dyDescent="0.2">
      <c r="A83" s="60"/>
      <c r="B83" s="128">
        <v>53</v>
      </c>
      <c r="C83" s="132">
        <f t="shared" ca="1" si="1"/>
        <v>47484</v>
      </c>
      <c r="D83" s="195">
        <f t="shared" si="2"/>
        <v>0</v>
      </c>
      <c r="E83" s="197">
        <f t="shared" si="5"/>
        <v>0</v>
      </c>
      <c r="F83" s="285">
        <f t="shared" si="6"/>
        <v>0</v>
      </c>
      <c r="G83" s="285"/>
      <c r="H83" s="134"/>
      <c r="I83" s="134"/>
      <c r="J83" s="4"/>
      <c r="L83" s="122"/>
      <c r="AC83" s="4"/>
    </row>
    <row r="84" spans="1:29" x14ac:dyDescent="0.2">
      <c r="A84" s="60"/>
      <c r="B84" s="128">
        <v>54</v>
      </c>
      <c r="C84" s="132">
        <f t="shared" ca="1" si="1"/>
        <v>47515</v>
      </c>
      <c r="D84" s="195">
        <f t="shared" si="2"/>
        <v>0</v>
      </c>
      <c r="E84" s="197">
        <f t="shared" si="5"/>
        <v>0</v>
      </c>
      <c r="F84" s="285">
        <f t="shared" si="6"/>
        <v>0</v>
      </c>
      <c r="G84" s="285"/>
      <c r="H84" s="134"/>
      <c r="I84" s="134"/>
      <c r="J84" s="4"/>
      <c r="L84" s="122"/>
      <c r="AC84" s="4"/>
    </row>
    <row r="85" spans="1:29" x14ac:dyDescent="0.2">
      <c r="A85" s="60"/>
      <c r="B85" s="128">
        <v>55</v>
      </c>
      <c r="C85" s="132">
        <f t="shared" ca="1" si="1"/>
        <v>47543</v>
      </c>
      <c r="D85" s="195">
        <f t="shared" si="2"/>
        <v>0</v>
      </c>
      <c r="E85" s="197">
        <f t="shared" si="5"/>
        <v>0</v>
      </c>
      <c r="F85" s="285">
        <f t="shared" si="6"/>
        <v>0</v>
      </c>
      <c r="G85" s="285"/>
      <c r="H85" s="134"/>
      <c r="I85" s="134"/>
      <c r="J85" s="4"/>
      <c r="L85" s="122"/>
      <c r="AC85" s="4"/>
    </row>
    <row r="86" spans="1:29" x14ac:dyDescent="0.2">
      <c r="A86" s="60"/>
      <c r="B86" s="128">
        <v>56</v>
      </c>
      <c r="C86" s="132">
        <f t="shared" ca="1" si="1"/>
        <v>47574</v>
      </c>
      <c r="D86" s="195">
        <f t="shared" si="2"/>
        <v>0</v>
      </c>
      <c r="E86" s="197">
        <f t="shared" si="5"/>
        <v>0</v>
      </c>
      <c r="F86" s="285">
        <f t="shared" si="6"/>
        <v>0</v>
      </c>
      <c r="G86" s="285"/>
      <c r="H86" s="134"/>
      <c r="I86" s="134"/>
      <c r="J86" s="4"/>
      <c r="L86" s="122"/>
      <c r="AC86" s="4"/>
    </row>
    <row r="87" spans="1:29" x14ac:dyDescent="0.2">
      <c r="A87" s="60"/>
      <c r="B87" s="128">
        <v>57</v>
      </c>
      <c r="C87" s="132">
        <f t="shared" ca="1" si="1"/>
        <v>47604</v>
      </c>
      <c r="D87" s="195">
        <f t="shared" si="2"/>
        <v>0</v>
      </c>
      <c r="E87" s="197">
        <f t="shared" si="5"/>
        <v>0</v>
      </c>
      <c r="F87" s="285">
        <f t="shared" si="6"/>
        <v>0</v>
      </c>
      <c r="G87" s="285"/>
      <c r="H87" s="134"/>
      <c r="I87" s="134"/>
      <c r="J87" s="4"/>
      <c r="L87" s="122"/>
      <c r="AC87" s="4"/>
    </row>
    <row r="88" spans="1:29" x14ac:dyDescent="0.2">
      <c r="A88" s="60"/>
      <c r="B88" s="128">
        <v>58</v>
      </c>
      <c r="C88" s="132">
        <f t="shared" ca="1" si="1"/>
        <v>47635</v>
      </c>
      <c r="D88" s="195">
        <f t="shared" si="2"/>
        <v>0</v>
      </c>
      <c r="E88" s="197">
        <f t="shared" si="5"/>
        <v>0</v>
      </c>
      <c r="F88" s="285">
        <f t="shared" si="6"/>
        <v>0</v>
      </c>
      <c r="G88" s="285"/>
      <c r="H88" s="134"/>
      <c r="I88" s="134"/>
      <c r="J88" s="4"/>
      <c r="L88" s="122"/>
      <c r="AC88" s="4"/>
    </row>
    <row r="89" spans="1:29" x14ac:dyDescent="0.2">
      <c r="A89" s="60"/>
      <c r="B89" s="128">
        <v>59</v>
      </c>
      <c r="C89" s="132">
        <f t="shared" ca="1" si="1"/>
        <v>47665</v>
      </c>
      <c r="D89" s="195">
        <f t="shared" si="2"/>
        <v>0</v>
      </c>
      <c r="E89" s="197">
        <f t="shared" si="5"/>
        <v>0</v>
      </c>
      <c r="F89" s="285">
        <f t="shared" si="6"/>
        <v>0</v>
      </c>
      <c r="G89" s="285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47696</v>
      </c>
      <c r="D90" s="195">
        <f t="shared" si="2"/>
        <v>0</v>
      </c>
      <c r="E90" s="200">
        <f t="shared" si="5"/>
        <v>0</v>
      </c>
      <c r="F90" s="286">
        <f t="shared" si="6"/>
        <v>0</v>
      </c>
      <c r="G90" s="286"/>
      <c r="H90" s="134"/>
      <c r="I90" s="134"/>
      <c r="J90" s="4"/>
      <c r="L90" s="122"/>
      <c r="AC90" s="4"/>
    </row>
    <row r="91" spans="1:29" ht="16.5" thickBot="1" x14ac:dyDescent="0.25">
      <c r="A91" s="60"/>
      <c r="B91" s="247" t="s">
        <v>3</v>
      </c>
      <c r="C91" s="282"/>
      <c r="D91" s="202">
        <f>SUM(D31:D90)</f>
        <v>0</v>
      </c>
      <c r="E91" s="202">
        <f>SUM(E31:E90)</f>
        <v>0</v>
      </c>
      <c r="F91" s="283">
        <f>SUM(F31:G90)</f>
        <v>0</v>
      </c>
      <c r="G91" s="284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51" t="s">
        <v>5</v>
      </c>
      <c r="F93" s="251"/>
      <c r="G93" s="251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7:E7"/>
    <mergeCell ref="H1:I1"/>
    <mergeCell ref="H2:I2"/>
    <mergeCell ref="F3:F4"/>
    <mergeCell ref="H3:I3"/>
    <mergeCell ref="B5:E5"/>
    <mergeCell ref="B9:E9"/>
    <mergeCell ref="G9:H9"/>
    <mergeCell ref="B13:E13"/>
    <mergeCell ref="G13:H13"/>
    <mergeCell ref="B15:E15"/>
    <mergeCell ref="G15:H15"/>
    <mergeCell ref="B11:E11"/>
    <mergeCell ref="B17:E17"/>
    <mergeCell ref="G17:H17"/>
    <mergeCell ref="B20:E20"/>
    <mergeCell ref="G20:H20"/>
    <mergeCell ref="B22:E22"/>
    <mergeCell ref="G22:H22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5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15.140625" style="4" hidden="1" customWidth="1" outlineLevel="1"/>
    <col min="12" max="12" width="8.710937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>
        <f>VLOOKUP(Позитив_Нестандарт!H2,Лист2!A:O,14,FALSE)</f>
        <v>5000</v>
      </c>
      <c r="F2" s="126">
        <f>VLOOKUP(H$2,Лист2!$A:$H,2,0)</f>
        <v>500000</v>
      </c>
      <c r="G2" s="185">
        <f ca="1">TODAY()</f>
        <v>45869</v>
      </c>
      <c r="H2" s="267" t="s">
        <v>98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100000</v>
      </c>
      <c r="F3" s="269" t="str">
        <f>IF(E3="x","Збільшіть суму",IF(E3="y","Зменшіть суму",""))</f>
        <v/>
      </c>
      <c r="G3" s="77">
        <f>Назви!B35</f>
        <v>30.4</v>
      </c>
      <c r="H3" s="271" t="str">
        <f>VLOOKUP(H$2,Лист2!$A:$H,7,0)</f>
        <v>max. 500000 грн.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100000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>
        <f>D89</f>
        <v>99999.999999999971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>
        <f>VLOOKUP(H$2,Лист2!$A:$H,4,0)</f>
        <v>0.79990000000000006</v>
      </c>
      <c r="G9" s="289"/>
      <c r="H9" s="289"/>
      <c r="I9" s="3"/>
      <c r="J9" s="51"/>
      <c r="K9" s="162" t="str">
        <f>Лист2!A4</f>
        <v>Позитив Нестандарт 60 міс.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>Позитив Нестандарт 36 міс.</v>
      </c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>
        <f>VLOOKUP(H$2,Лист2!$A:$H,5,0)</f>
        <v>0</v>
      </c>
      <c r="G11" s="289"/>
      <c r="H11" s="289"/>
      <c r="I11" s="3"/>
      <c r="J11" s="51"/>
      <c r="K11" s="162" t="str">
        <f>Лист2!A6</f>
        <v>Позитив Нестандарт 24 міс.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>Позитив Нестандарт 12 міс.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>
        <f>VLOOKUP(H$2,Лист2!$A:$H,6,0)</f>
        <v>0</v>
      </c>
      <c r="G13" s="289"/>
      <c r="H13" s="289"/>
      <c r="I13" s="3"/>
      <c r="J13" s="51"/>
      <c r="K13" s="162"/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/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>
        <f>VLOOKUP(H$2,Лист2!$A:$H,3,0)</f>
        <v>12</v>
      </c>
      <c r="G15" s="289"/>
      <c r="H15" s="289"/>
      <c r="I15" s="3"/>
      <c r="J15" s="51"/>
      <c r="K15" s="162"/>
    </row>
    <row r="16" spans="1:29" s="12" customFormat="1" ht="7.9" customHeight="1" x14ac:dyDescent="0.2">
      <c r="A16" s="1"/>
      <c r="B16" s="10"/>
      <c r="C16" s="59"/>
      <c r="D16" s="116"/>
      <c r="E16" s="182">
        <f>F5*F11</f>
        <v>0</v>
      </c>
      <c r="F16" s="61"/>
      <c r="G16" s="120"/>
      <c r="H16" s="11"/>
      <c r="I16" s="1"/>
      <c r="J16" s="52"/>
      <c r="K16" s="16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100000</v>
      </c>
      <c r="F17" s="61"/>
      <c r="G17" s="120"/>
      <c r="H17" s="11"/>
      <c r="I17" s="1"/>
      <c r="J17" s="124"/>
      <c r="K17" s="16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>
        <f>PMT(F9/12,F15,-E17)+F13*E17</f>
        <v>12366.918547567431</v>
      </c>
      <c r="G18" s="290"/>
      <c r="H18" s="291"/>
      <c r="I18" s="133"/>
      <c r="J18" s="52"/>
      <c r="K18" s="16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>
        <f>G89-E3</f>
        <v>48403.022570809175</v>
      </c>
      <c r="G20" s="292"/>
      <c r="H20" s="292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>
        <f>F7+F20</f>
        <v>148403.02257080915</v>
      </c>
      <c r="G22" s="289"/>
      <c r="H22" s="289"/>
      <c r="I22" s="1"/>
      <c r="J22" s="53"/>
      <c r="K22" s="16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>
        <f ca="1">XIRR(G28:G88,C28:C88)</f>
        <v>1.1588226199150087</v>
      </c>
      <c r="G24" s="17"/>
      <c r="H24" s="18"/>
      <c r="I24" s="1"/>
      <c r="J24" s="1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87">
        <f>-1*E3</f>
        <v>-100000</v>
      </c>
      <c r="H28" s="28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45900</v>
      </c>
      <c r="D29" s="207">
        <f>IFERROR(PPMT($F$9/12,B29,$F$15,-$E$17),0)</f>
        <v>5701.0852142340982</v>
      </c>
      <c r="E29" s="194">
        <v>0</v>
      </c>
      <c r="F29" s="194">
        <f>IFERROR(IPMT($F$9/12,B29,$F$15,-$F$7),0)</f>
        <v>6665.8333333333312</v>
      </c>
      <c r="G29" s="263">
        <f>SUM(D29:F29)</f>
        <v>12366.918547567429</v>
      </c>
      <c r="H29" s="26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45931</v>
      </c>
      <c r="D30" s="208">
        <f t="shared" ref="D30:D88" si="1">IFERROR(PPMT($F$9/12,B30,$F$15,-$E$17),0)</f>
        <v>6081.1100528062525</v>
      </c>
      <c r="E30" s="196">
        <v>0</v>
      </c>
      <c r="F30" s="196">
        <f t="shared" ref="F30:F88" si="2">IFERROR(IPMT($F$9/12,B30,$F$15,-$F$7),0)</f>
        <v>6285.8084947611769</v>
      </c>
      <c r="G30" s="285">
        <f t="shared" ref="G30:G88" si="3">SUM(D30:F30)</f>
        <v>12366.918547567429</v>
      </c>
      <c r="H30" s="299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45962</v>
      </c>
      <c r="D31" s="208">
        <f t="shared" si="1"/>
        <v>6486.466713742896</v>
      </c>
      <c r="E31" s="196">
        <v>0</v>
      </c>
      <c r="F31" s="196">
        <f t="shared" si="2"/>
        <v>5880.4518338245334</v>
      </c>
      <c r="G31" s="285">
        <f t="shared" si="3"/>
        <v>12366.918547567429</v>
      </c>
      <c r="H31" s="299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45992</v>
      </c>
      <c r="D32" s="208">
        <f t="shared" si="1"/>
        <v>6918.8437741031412</v>
      </c>
      <c r="E32" s="196">
        <v>0</v>
      </c>
      <c r="F32" s="196">
        <f t="shared" si="2"/>
        <v>5448.0747734642882</v>
      </c>
      <c r="G32" s="285">
        <f t="shared" si="3"/>
        <v>12366.918547567429</v>
      </c>
      <c r="H32" s="299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46023</v>
      </c>
      <c r="D33" s="208">
        <f t="shared" si="1"/>
        <v>7380.0423686785662</v>
      </c>
      <c r="E33" s="196">
        <v>0</v>
      </c>
      <c r="F33" s="196">
        <f t="shared" si="2"/>
        <v>4986.8761788888642</v>
      </c>
      <c r="G33" s="285">
        <f t="shared" si="3"/>
        <v>12366.918547567431</v>
      </c>
      <c r="H33" s="299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46054</v>
      </c>
      <c r="D34" s="208">
        <f t="shared" si="1"/>
        <v>7871.9836929040648</v>
      </c>
      <c r="E34" s="196">
        <v>0</v>
      </c>
      <c r="F34" s="196">
        <f t="shared" si="2"/>
        <v>4494.9348546633646</v>
      </c>
      <c r="G34" s="285">
        <f t="shared" si="3"/>
        <v>12366.918547567429</v>
      </c>
      <c r="H34" s="299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46082</v>
      </c>
      <c r="D35" s="208">
        <f t="shared" si="1"/>
        <v>8396.7170059002292</v>
      </c>
      <c r="E35" s="196">
        <v>0</v>
      </c>
      <c r="F35" s="196">
        <f t="shared" si="2"/>
        <v>3970.2015416672007</v>
      </c>
      <c r="G35" s="285">
        <f t="shared" si="3"/>
        <v>12366.918547567429</v>
      </c>
      <c r="H35" s="299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46113</v>
      </c>
      <c r="D36" s="208">
        <f t="shared" si="1"/>
        <v>8956.4281669851953</v>
      </c>
      <c r="E36" s="196">
        <v>0</v>
      </c>
      <c r="F36" s="196">
        <f t="shared" si="2"/>
        <v>3410.4903805822355</v>
      </c>
      <c r="G36" s="285">
        <f t="shared" si="3"/>
        <v>12366.918547567431</v>
      </c>
      <c r="H36" s="299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46143</v>
      </c>
      <c r="D37" s="208">
        <f t="shared" si="1"/>
        <v>9553.4487412161507</v>
      </c>
      <c r="E37" s="196">
        <v>0</v>
      </c>
      <c r="F37" s="196">
        <f t="shared" si="2"/>
        <v>2813.4698063512806</v>
      </c>
      <c r="G37" s="285">
        <f t="shared" si="3"/>
        <v>12366.918547567431</v>
      </c>
      <c r="H37" s="299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46174</v>
      </c>
      <c r="D38" s="208">
        <f t="shared" si="1"/>
        <v>10190.26571189105</v>
      </c>
      <c r="E38" s="196">
        <v>0</v>
      </c>
      <c r="F38" s="196">
        <f t="shared" si="2"/>
        <v>2176.6528356763802</v>
      </c>
      <c r="G38" s="285">
        <f t="shared" si="3"/>
        <v>12366.918547567431</v>
      </c>
      <c r="H38" s="299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46204</v>
      </c>
      <c r="D39" s="208">
        <f t="shared" si="1"/>
        <v>10869.531840469521</v>
      </c>
      <c r="E39" s="196">
        <v>0</v>
      </c>
      <c r="F39" s="196">
        <f t="shared" si="2"/>
        <v>1497.3867070979099</v>
      </c>
      <c r="G39" s="285">
        <f t="shared" si="3"/>
        <v>12366.918547567431</v>
      </c>
      <c r="H39" s="299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46235</v>
      </c>
      <c r="D40" s="208">
        <f t="shared" si="1"/>
        <v>11594.07671706882</v>
      </c>
      <c r="E40" s="196">
        <v>0</v>
      </c>
      <c r="F40" s="196">
        <f t="shared" si="2"/>
        <v>772.84183049861213</v>
      </c>
      <c r="G40" s="285">
        <f t="shared" si="3"/>
        <v>12366.918547567431</v>
      </c>
      <c r="H40" s="299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46266</v>
      </c>
      <c r="D41" s="208">
        <f t="shared" si="1"/>
        <v>0</v>
      </c>
      <c r="E41" s="196">
        <v>0</v>
      </c>
      <c r="F41" s="196">
        <f t="shared" si="2"/>
        <v>0</v>
      </c>
      <c r="G41" s="285">
        <f t="shared" si="3"/>
        <v>0</v>
      </c>
      <c r="H41" s="299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46296</v>
      </c>
      <c r="D42" s="208">
        <f t="shared" si="1"/>
        <v>0</v>
      </c>
      <c r="E42" s="196">
        <v>0</v>
      </c>
      <c r="F42" s="196">
        <f t="shared" si="2"/>
        <v>0</v>
      </c>
      <c r="G42" s="285">
        <f t="shared" si="3"/>
        <v>0</v>
      </c>
      <c r="H42" s="299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46327</v>
      </c>
      <c r="D43" s="208">
        <f t="shared" si="1"/>
        <v>0</v>
      </c>
      <c r="E43" s="196">
        <v>0</v>
      </c>
      <c r="F43" s="196">
        <f t="shared" si="2"/>
        <v>0</v>
      </c>
      <c r="G43" s="285">
        <f t="shared" si="3"/>
        <v>0</v>
      </c>
      <c r="H43" s="299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46357</v>
      </c>
      <c r="D44" s="208">
        <f t="shared" si="1"/>
        <v>0</v>
      </c>
      <c r="E44" s="196">
        <v>0</v>
      </c>
      <c r="F44" s="196">
        <f t="shared" si="2"/>
        <v>0</v>
      </c>
      <c r="G44" s="285">
        <f t="shared" si="3"/>
        <v>0</v>
      </c>
      <c r="H44" s="299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46388</v>
      </c>
      <c r="D45" s="208">
        <f t="shared" si="1"/>
        <v>0</v>
      </c>
      <c r="E45" s="196">
        <v>0</v>
      </c>
      <c r="F45" s="196">
        <f t="shared" si="2"/>
        <v>0</v>
      </c>
      <c r="G45" s="285">
        <f t="shared" si="3"/>
        <v>0</v>
      </c>
      <c r="H45" s="299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46419</v>
      </c>
      <c r="D46" s="208">
        <f t="shared" si="1"/>
        <v>0</v>
      </c>
      <c r="E46" s="196">
        <v>0</v>
      </c>
      <c r="F46" s="196">
        <f t="shared" si="2"/>
        <v>0</v>
      </c>
      <c r="G46" s="285">
        <f t="shared" si="3"/>
        <v>0</v>
      </c>
      <c r="H46" s="299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46447</v>
      </c>
      <c r="D47" s="208">
        <f t="shared" si="1"/>
        <v>0</v>
      </c>
      <c r="E47" s="196">
        <v>0</v>
      </c>
      <c r="F47" s="196">
        <f t="shared" si="2"/>
        <v>0</v>
      </c>
      <c r="G47" s="285">
        <f t="shared" si="3"/>
        <v>0</v>
      </c>
      <c r="H47" s="299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46478</v>
      </c>
      <c r="D48" s="208">
        <f t="shared" si="1"/>
        <v>0</v>
      </c>
      <c r="E48" s="196">
        <v>0</v>
      </c>
      <c r="F48" s="196">
        <f t="shared" si="2"/>
        <v>0</v>
      </c>
      <c r="G48" s="285">
        <f t="shared" si="3"/>
        <v>0</v>
      </c>
      <c r="H48" s="299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46508</v>
      </c>
      <c r="D49" s="208">
        <f t="shared" si="1"/>
        <v>0</v>
      </c>
      <c r="E49" s="196">
        <v>0</v>
      </c>
      <c r="F49" s="196">
        <f t="shared" si="2"/>
        <v>0</v>
      </c>
      <c r="G49" s="285">
        <f t="shared" si="3"/>
        <v>0</v>
      </c>
      <c r="H49" s="299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46539</v>
      </c>
      <c r="D50" s="208">
        <f t="shared" si="1"/>
        <v>0</v>
      </c>
      <c r="E50" s="196">
        <v>0</v>
      </c>
      <c r="F50" s="196">
        <f t="shared" si="2"/>
        <v>0</v>
      </c>
      <c r="G50" s="285">
        <f t="shared" si="3"/>
        <v>0</v>
      </c>
      <c r="H50" s="299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46569</v>
      </c>
      <c r="D51" s="208">
        <f t="shared" si="1"/>
        <v>0</v>
      </c>
      <c r="E51" s="196">
        <v>0</v>
      </c>
      <c r="F51" s="196">
        <f t="shared" si="2"/>
        <v>0</v>
      </c>
      <c r="G51" s="285">
        <f t="shared" si="3"/>
        <v>0</v>
      </c>
      <c r="H51" s="299"/>
      <c r="I51" s="3"/>
    </row>
    <row r="52" spans="1:11" x14ac:dyDescent="0.2">
      <c r="A52" s="60"/>
      <c r="B52" s="215">
        <v>24</v>
      </c>
      <c r="C52" s="212">
        <f t="shared" ca="1" si="0"/>
        <v>46600</v>
      </c>
      <c r="D52" s="208">
        <f t="shared" si="1"/>
        <v>0</v>
      </c>
      <c r="E52" s="196">
        <v>0</v>
      </c>
      <c r="F52" s="196">
        <f t="shared" si="2"/>
        <v>0</v>
      </c>
      <c r="G52" s="285">
        <f t="shared" si="3"/>
        <v>0</v>
      </c>
      <c r="H52" s="299"/>
      <c r="I52" s="3"/>
    </row>
    <row r="53" spans="1:11" x14ac:dyDescent="0.2">
      <c r="A53" s="60"/>
      <c r="B53" s="215">
        <v>25</v>
      </c>
      <c r="C53" s="212">
        <f t="shared" ca="1" si="0"/>
        <v>46631</v>
      </c>
      <c r="D53" s="208">
        <f t="shared" si="1"/>
        <v>0</v>
      </c>
      <c r="E53" s="196">
        <v>0</v>
      </c>
      <c r="F53" s="196">
        <f t="shared" si="2"/>
        <v>0</v>
      </c>
      <c r="G53" s="285">
        <f t="shared" si="3"/>
        <v>0</v>
      </c>
      <c r="H53" s="299"/>
      <c r="I53" s="3"/>
    </row>
    <row r="54" spans="1:11" x14ac:dyDescent="0.2">
      <c r="A54" s="60"/>
      <c r="B54" s="215">
        <v>26</v>
      </c>
      <c r="C54" s="212">
        <f t="shared" ca="1" si="0"/>
        <v>46661</v>
      </c>
      <c r="D54" s="208">
        <f t="shared" si="1"/>
        <v>0</v>
      </c>
      <c r="E54" s="196">
        <v>0</v>
      </c>
      <c r="F54" s="196">
        <f t="shared" si="2"/>
        <v>0</v>
      </c>
      <c r="G54" s="285">
        <f t="shared" si="3"/>
        <v>0</v>
      </c>
      <c r="H54" s="299"/>
      <c r="I54" s="3"/>
    </row>
    <row r="55" spans="1:11" x14ac:dyDescent="0.2">
      <c r="A55" s="60"/>
      <c r="B55" s="215">
        <v>27</v>
      </c>
      <c r="C55" s="212">
        <f t="shared" ca="1" si="0"/>
        <v>46692</v>
      </c>
      <c r="D55" s="208">
        <f t="shared" si="1"/>
        <v>0</v>
      </c>
      <c r="E55" s="196">
        <v>0</v>
      </c>
      <c r="F55" s="196">
        <f t="shared" si="2"/>
        <v>0</v>
      </c>
      <c r="G55" s="285">
        <f t="shared" si="3"/>
        <v>0</v>
      </c>
      <c r="H55" s="299"/>
      <c r="I55" s="3"/>
    </row>
    <row r="56" spans="1:11" x14ac:dyDescent="0.2">
      <c r="A56" s="60"/>
      <c r="B56" s="215">
        <v>28</v>
      </c>
      <c r="C56" s="212">
        <f t="shared" ca="1" si="0"/>
        <v>46722</v>
      </c>
      <c r="D56" s="208">
        <f t="shared" si="1"/>
        <v>0</v>
      </c>
      <c r="E56" s="196">
        <v>0</v>
      </c>
      <c r="F56" s="196">
        <f t="shared" si="2"/>
        <v>0</v>
      </c>
      <c r="G56" s="285">
        <f t="shared" si="3"/>
        <v>0</v>
      </c>
      <c r="H56" s="299"/>
      <c r="I56" s="3"/>
    </row>
    <row r="57" spans="1:11" x14ac:dyDescent="0.2">
      <c r="A57" s="60"/>
      <c r="B57" s="215">
        <v>29</v>
      </c>
      <c r="C57" s="212">
        <f t="shared" ca="1" si="0"/>
        <v>46753</v>
      </c>
      <c r="D57" s="208">
        <f t="shared" si="1"/>
        <v>0</v>
      </c>
      <c r="E57" s="196">
        <v>0</v>
      </c>
      <c r="F57" s="196">
        <f t="shared" si="2"/>
        <v>0</v>
      </c>
      <c r="G57" s="285">
        <f t="shared" si="3"/>
        <v>0</v>
      </c>
      <c r="H57" s="299"/>
      <c r="I57" s="3"/>
    </row>
    <row r="58" spans="1:11" x14ac:dyDescent="0.2">
      <c r="A58" s="60">
        <v>25</v>
      </c>
      <c r="B58" s="215">
        <v>30</v>
      </c>
      <c r="C58" s="212">
        <f t="shared" ca="1" si="0"/>
        <v>46784</v>
      </c>
      <c r="D58" s="208">
        <f t="shared" si="1"/>
        <v>0</v>
      </c>
      <c r="E58" s="196">
        <v>0</v>
      </c>
      <c r="F58" s="196">
        <f t="shared" si="2"/>
        <v>0</v>
      </c>
      <c r="G58" s="285">
        <f t="shared" si="3"/>
        <v>0</v>
      </c>
      <c r="H58" s="299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46813</v>
      </c>
      <c r="D59" s="208">
        <f t="shared" si="1"/>
        <v>0</v>
      </c>
      <c r="E59" s="196">
        <v>0</v>
      </c>
      <c r="F59" s="196">
        <f t="shared" si="2"/>
        <v>0</v>
      </c>
      <c r="G59" s="285">
        <f t="shared" si="3"/>
        <v>0</v>
      </c>
      <c r="H59" s="299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46844</v>
      </c>
      <c r="D60" s="208">
        <f t="shared" si="1"/>
        <v>0</v>
      </c>
      <c r="E60" s="196">
        <v>0</v>
      </c>
      <c r="F60" s="196">
        <f t="shared" si="2"/>
        <v>0</v>
      </c>
      <c r="G60" s="285">
        <f t="shared" si="3"/>
        <v>0</v>
      </c>
      <c r="H60" s="299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46874</v>
      </c>
      <c r="D61" s="208">
        <f t="shared" si="1"/>
        <v>0</v>
      </c>
      <c r="E61" s="196">
        <v>0</v>
      </c>
      <c r="F61" s="196">
        <f t="shared" si="2"/>
        <v>0</v>
      </c>
      <c r="G61" s="285">
        <f t="shared" si="3"/>
        <v>0</v>
      </c>
      <c r="H61" s="299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46905</v>
      </c>
      <c r="D62" s="208">
        <f t="shared" si="1"/>
        <v>0</v>
      </c>
      <c r="E62" s="196">
        <v>0</v>
      </c>
      <c r="F62" s="196">
        <f t="shared" si="2"/>
        <v>0</v>
      </c>
      <c r="G62" s="285">
        <f t="shared" si="3"/>
        <v>0</v>
      </c>
      <c r="H62" s="299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46935</v>
      </c>
      <c r="D63" s="208">
        <f t="shared" si="1"/>
        <v>0</v>
      </c>
      <c r="E63" s="196">
        <v>0</v>
      </c>
      <c r="F63" s="196">
        <f t="shared" si="2"/>
        <v>0</v>
      </c>
      <c r="G63" s="285">
        <f t="shared" si="3"/>
        <v>0</v>
      </c>
      <c r="H63" s="299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46966</v>
      </c>
      <c r="D64" s="208">
        <f t="shared" si="1"/>
        <v>0</v>
      </c>
      <c r="E64" s="196">
        <v>0</v>
      </c>
      <c r="F64" s="196">
        <f t="shared" si="2"/>
        <v>0</v>
      </c>
      <c r="G64" s="285">
        <f t="shared" si="3"/>
        <v>0</v>
      </c>
      <c r="H64" s="299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46997</v>
      </c>
      <c r="D65" s="208">
        <f t="shared" si="1"/>
        <v>0</v>
      </c>
      <c r="E65" s="196">
        <v>0</v>
      </c>
      <c r="F65" s="196">
        <f t="shared" si="2"/>
        <v>0</v>
      </c>
      <c r="G65" s="285">
        <f t="shared" si="3"/>
        <v>0</v>
      </c>
      <c r="H65" s="299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47027</v>
      </c>
      <c r="D66" s="208">
        <f t="shared" si="1"/>
        <v>0</v>
      </c>
      <c r="E66" s="196">
        <v>0</v>
      </c>
      <c r="F66" s="196">
        <f t="shared" si="2"/>
        <v>0</v>
      </c>
      <c r="G66" s="285">
        <f t="shared" si="3"/>
        <v>0</v>
      </c>
      <c r="H66" s="299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47058</v>
      </c>
      <c r="D67" s="208">
        <f t="shared" si="1"/>
        <v>0</v>
      </c>
      <c r="E67" s="196">
        <v>0</v>
      </c>
      <c r="F67" s="196">
        <f t="shared" si="2"/>
        <v>0</v>
      </c>
      <c r="G67" s="285">
        <f t="shared" si="3"/>
        <v>0</v>
      </c>
      <c r="H67" s="299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47088</v>
      </c>
      <c r="D68" s="208">
        <f t="shared" si="1"/>
        <v>0</v>
      </c>
      <c r="E68" s="196">
        <v>0</v>
      </c>
      <c r="F68" s="196">
        <f t="shared" si="2"/>
        <v>0</v>
      </c>
      <c r="G68" s="285">
        <f t="shared" si="3"/>
        <v>0</v>
      </c>
      <c r="H68" s="299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47119</v>
      </c>
      <c r="D69" s="208">
        <f t="shared" si="1"/>
        <v>0</v>
      </c>
      <c r="E69" s="196">
        <v>0</v>
      </c>
      <c r="F69" s="196">
        <f t="shared" si="2"/>
        <v>0</v>
      </c>
      <c r="G69" s="285">
        <f t="shared" si="3"/>
        <v>0</v>
      </c>
      <c r="H69" s="299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47150</v>
      </c>
      <c r="D70" s="208">
        <f t="shared" si="1"/>
        <v>0</v>
      </c>
      <c r="E70" s="196">
        <v>0</v>
      </c>
      <c r="F70" s="196">
        <f t="shared" si="2"/>
        <v>0</v>
      </c>
      <c r="G70" s="285">
        <f t="shared" si="3"/>
        <v>0</v>
      </c>
      <c r="H70" s="299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47178</v>
      </c>
      <c r="D71" s="208">
        <f t="shared" si="1"/>
        <v>0</v>
      </c>
      <c r="E71" s="196">
        <v>0</v>
      </c>
      <c r="F71" s="196">
        <f t="shared" si="2"/>
        <v>0</v>
      </c>
      <c r="G71" s="285">
        <f t="shared" si="3"/>
        <v>0</v>
      </c>
      <c r="H71" s="299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47209</v>
      </c>
      <c r="D72" s="208">
        <f t="shared" si="1"/>
        <v>0</v>
      </c>
      <c r="E72" s="196">
        <v>0</v>
      </c>
      <c r="F72" s="196">
        <f t="shared" si="2"/>
        <v>0</v>
      </c>
      <c r="G72" s="285">
        <f t="shared" si="3"/>
        <v>0</v>
      </c>
      <c r="H72" s="299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47239</v>
      </c>
      <c r="D73" s="208">
        <f t="shared" si="1"/>
        <v>0</v>
      </c>
      <c r="E73" s="196">
        <v>0</v>
      </c>
      <c r="F73" s="196">
        <f t="shared" si="2"/>
        <v>0</v>
      </c>
      <c r="G73" s="285">
        <f t="shared" si="3"/>
        <v>0</v>
      </c>
      <c r="H73" s="299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47270</v>
      </c>
      <c r="D74" s="208">
        <f t="shared" si="1"/>
        <v>0</v>
      </c>
      <c r="E74" s="196">
        <v>0</v>
      </c>
      <c r="F74" s="196">
        <f t="shared" si="2"/>
        <v>0</v>
      </c>
      <c r="G74" s="285">
        <f t="shared" si="3"/>
        <v>0</v>
      </c>
      <c r="H74" s="299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47300</v>
      </c>
      <c r="D75" s="208">
        <f t="shared" si="1"/>
        <v>0</v>
      </c>
      <c r="E75" s="196">
        <v>0</v>
      </c>
      <c r="F75" s="196">
        <f t="shared" si="2"/>
        <v>0</v>
      </c>
      <c r="G75" s="285">
        <f t="shared" si="3"/>
        <v>0</v>
      </c>
      <c r="H75" s="299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47331</v>
      </c>
      <c r="D76" s="208">
        <f t="shared" si="1"/>
        <v>0</v>
      </c>
      <c r="E76" s="196">
        <v>0</v>
      </c>
      <c r="F76" s="196">
        <f t="shared" si="2"/>
        <v>0</v>
      </c>
      <c r="G76" s="285">
        <f t="shared" si="3"/>
        <v>0</v>
      </c>
      <c r="H76" s="299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47362</v>
      </c>
      <c r="D77" s="208">
        <f t="shared" si="1"/>
        <v>0</v>
      </c>
      <c r="E77" s="196">
        <v>0</v>
      </c>
      <c r="F77" s="196">
        <f t="shared" si="2"/>
        <v>0</v>
      </c>
      <c r="G77" s="285">
        <f t="shared" si="3"/>
        <v>0</v>
      </c>
      <c r="H77" s="299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47392</v>
      </c>
      <c r="D78" s="208">
        <f t="shared" si="1"/>
        <v>0</v>
      </c>
      <c r="E78" s="196">
        <v>0</v>
      </c>
      <c r="F78" s="196">
        <f t="shared" si="2"/>
        <v>0</v>
      </c>
      <c r="G78" s="285">
        <f t="shared" si="3"/>
        <v>0</v>
      </c>
      <c r="H78" s="299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47423</v>
      </c>
      <c r="D79" s="208">
        <f t="shared" si="1"/>
        <v>0</v>
      </c>
      <c r="E79" s="196">
        <v>0</v>
      </c>
      <c r="F79" s="196">
        <f t="shared" si="2"/>
        <v>0</v>
      </c>
      <c r="G79" s="285">
        <f t="shared" si="3"/>
        <v>0</v>
      </c>
      <c r="H79" s="299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47453</v>
      </c>
      <c r="D80" s="208">
        <f t="shared" si="1"/>
        <v>0</v>
      </c>
      <c r="E80" s="196">
        <v>0</v>
      </c>
      <c r="F80" s="196">
        <f t="shared" si="2"/>
        <v>0</v>
      </c>
      <c r="G80" s="285">
        <f t="shared" si="3"/>
        <v>0</v>
      </c>
      <c r="H80" s="299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47484</v>
      </c>
      <c r="D81" s="208">
        <f t="shared" si="1"/>
        <v>0</v>
      </c>
      <c r="E81" s="196">
        <v>0</v>
      </c>
      <c r="F81" s="196">
        <f t="shared" si="2"/>
        <v>0</v>
      </c>
      <c r="G81" s="285">
        <f t="shared" si="3"/>
        <v>0</v>
      </c>
      <c r="H81" s="299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47515</v>
      </c>
      <c r="D82" s="208">
        <f t="shared" si="1"/>
        <v>0</v>
      </c>
      <c r="E82" s="196">
        <v>0</v>
      </c>
      <c r="F82" s="196">
        <f t="shared" si="2"/>
        <v>0</v>
      </c>
      <c r="G82" s="285">
        <f t="shared" si="3"/>
        <v>0</v>
      </c>
      <c r="H82" s="299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47543</v>
      </c>
      <c r="D83" s="208">
        <f t="shared" si="1"/>
        <v>0</v>
      </c>
      <c r="E83" s="196">
        <v>0</v>
      </c>
      <c r="F83" s="196">
        <f t="shared" si="2"/>
        <v>0</v>
      </c>
      <c r="G83" s="285">
        <f t="shared" si="3"/>
        <v>0</v>
      </c>
      <c r="H83" s="299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47574</v>
      </c>
      <c r="D84" s="208">
        <f t="shared" si="1"/>
        <v>0</v>
      </c>
      <c r="E84" s="196">
        <v>0</v>
      </c>
      <c r="F84" s="196">
        <f t="shared" si="2"/>
        <v>0</v>
      </c>
      <c r="G84" s="285">
        <f t="shared" si="3"/>
        <v>0</v>
      </c>
      <c r="H84" s="299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47604</v>
      </c>
      <c r="D85" s="208">
        <f t="shared" si="1"/>
        <v>0</v>
      </c>
      <c r="E85" s="196">
        <v>0</v>
      </c>
      <c r="F85" s="196">
        <f t="shared" si="2"/>
        <v>0</v>
      </c>
      <c r="G85" s="285">
        <f t="shared" si="3"/>
        <v>0</v>
      </c>
      <c r="H85" s="299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47635</v>
      </c>
      <c r="D86" s="208">
        <f t="shared" si="1"/>
        <v>0</v>
      </c>
      <c r="E86" s="196">
        <v>0</v>
      </c>
      <c r="F86" s="196">
        <f t="shared" si="2"/>
        <v>0</v>
      </c>
      <c r="G86" s="285">
        <f t="shared" si="3"/>
        <v>0</v>
      </c>
      <c r="H86" s="299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47665</v>
      </c>
      <c r="D87" s="208">
        <f t="shared" si="1"/>
        <v>0</v>
      </c>
      <c r="E87" s="196">
        <v>0</v>
      </c>
      <c r="F87" s="196">
        <f t="shared" si="2"/>
        <v>0</v>
      </c>
      <c r="G87" s="285">
        <f t="shared" si="3"/>
        <v>0</v>
      </c>
      <c r="H87" s="299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47696</v>
      </c>
      <c r="D88" s="209">
        <f t="shared" si="1"/>
        <v>0</v>
      </c>
      <c r="E88" s="210">
        <v>0</v>
      </c>
      <c r="F88" s="210">
        <f t="shared" si="2"/>
        <v>0</v>
      </c>
      <c r="G88" s="300">
        <f t="shared" si="3"/>
        <v>0</v>
      </c>
      <c r="H88" s="301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6">
        <f>SUM(D29:D88)</f>
        <v>99999.999999999971</v>
      </c>
      <c r="E89" s="206">
        <f>SUM(E29:E88)</f>
        <v>0</v>
      </c>
      <c r="F89" s="206">
        <f>SUM(F29:F88)</f>
        <v>48403.022570809175</v>
      </c>
      <c r="G89" s="297">
        <f>SUM(G29:H88)</f>
        <v>148403.02257080917</v>
      </c>
      <c r="H89" s="298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f01nsiwsfXPSJMfvcbtYjX4fR+QcWcHDZQZQaPGKxmUEo7Gy4K+t+K9dSaHzKFFPc2cZlie/JshNrBRrqE7SoA==" saltValue="dHSdKTkhMvLdPuNG9SXqqw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600-000000000000}">
      <formula1>$K$9:$K$12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45869</v>
      </c>
      <c r="H2" s="267" t="s">
        <v>70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69" t="e">
        <f>IF(E3="x","Збільшіть суму",IF(E3="y","Зменшіть суму",""))</f>
        <v>#N/A</v>
      </c>
      <c r="G3" s="77">
        <f>Назви!B35</f>
        <v>30.4</v>
      </c>
      <c r="H3" s="271" t="e">
        <f>VLOOKUP(H$2,Лист2!$A:$G,7,0)</f>
        <v>#N/A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 t="e">
        <f>VLOOKUP(H$2,Лист2!$A:$G,4,0)</f>
        <v>#N/A</v>
      </c>
      <c r="G9" s="289"/>
      <c r="H9" s="289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 t="e">
        <f>VLOOKUP(H$2,Лист2!$A:$G,5,0)</f>
        <v>#N/A</v>
      </c>
      <c r="G11" s="289"/>
      <c r="H11" s="289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 t="e">
        <f>VLOOKUP(H$2,Лист2!$A:$G,6,0)</f>
        <v>#N/A</v>
      </c>
      <c r="G13" s="289"/>
      <c r="H13" s="289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 t="e">
        <f>VLOOKUP(H$2,Лист2!$A:$G,3,0)</f>
        <v>#N/A</v>
      </c>
      <c r="G15" s="289"/>
      <c r="H15" s="289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 t="e">
        <f>PMT(F9/12,F15,-E17)+F13*E17</f>
        <v>#N/A</v>
      </c>
      <c r="G18" s="290"/>
      <c r="H18" s="291"/>
      <c r="I18" s="133"/>
      <c r="J18" s="52"/>
      <c r="K18" s="162" t="str">
        <f>Лист2!A5</f>
        <v>Позитив Нестандарт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Позитив Нестандарт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 t="e">
        <f>G89-E3</f>
        <v>#N/A</v>
      </c>
      <c r="G20" s="292"/>
      <c r="H20" s="292"/>
      <c r="I20" s="1"/>
      <c r="J20" s="53"/>
      <c r="K20" s="162" t="str">
        <f>Лист2!A8</f>
        <v>Позитив Нестандарт СК, 60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e">
        <f>Лист2!#REF!</f>
        <v>#REF!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 t="e">
        <f>E3+F20</f>
        <v>#N/A</v>
      </c>
      <c r="G22" s="289"/>
      <c r="H22" s="289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45900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85" t="e">
        <f>SUM(D29:F29)</f>
        <v>#N/A</v>
      </c>
      <c r="H29" s="285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45931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85" t="e">
        <f t="shared" ref="G30:G88" si="1">SUM(D30:F30)</f>
        <v>#N/A</v>
      </c>
      <c r="H30" s="285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45962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85" t="e">
        <f t="shared" si="1"/>
        <v>#N/A</v>
      </c>
      <c r="H31" s="285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45992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85" t="e">
        <f t="shared" si="1"/>
        <v>#N/A</v>
      </c>
      <c r="H32" s="285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46023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85" t="e">
        <f t="shared" si="1"/>
        <v>#N/A</v>
      </c>
      <c r="H33" s="285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46054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85" t="e">
        <f t="shared" si="1"/>
        <v>#N/A</v>
      </c>
      <c r="H34" s="285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46082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85" t="e">
        <f t="shared" si="1"/>
        <v>#N/A</v>
      </c>
      <c r="H35" s="285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46113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85" t="e">
        <f t="shared" si="1"/>
        <v>#N/A</v>
      </c>
      <c r="H36" s="285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46143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85" t="e">
        <f t="shared" si="1"/>
        <v>#N/A</v>
      </c>
      <c r="H37" s="285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46174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85" t="e">
        <f t="shared" si="1"/>
        <v>#N/A</v>
      </c>
      <c r="H38" s="285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46204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85" t="e">
        <f t="shared" si="1"/>
        <v>#N/A</v>
      </c>
      <c r="H39" s="285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46235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85" t="e">
        <f t="shared" si="1"/>
        <v>#N/A</v>
      </c>
      <c r="H40" s="285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46266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85" t="e">
        <f t="shared" si="1"/>
        <v>#N/A</v>
      </c>
      <c r="H41" s="285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46296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85" t="e">
        <f t="shared" si="1"/>
        <v>#N/A</v>
      </c>
      <c r="H42" s="285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46327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85" t="e">
        <f t="shared" si="1"/>
        <v>#N/A</v>
      </c>
      <c r="H43" s="285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46357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85" t="e">
        <f t="shared" si="1"/>
        <v>#N/A</v>
      </c>
      <c r="H44" s="285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46388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85" t="e">
        <f t="shared" si="1"/>
        <v>#N/A</v>
      </c>
      <c r="H45" s="285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46419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85" t="e">
        <f t="shared" si="1"/>
        <v>#N/A</v>
      </c>
      <c r="H46" s="285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46447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85" t="e">
        <f t="shared" si="1"/>
        <v>#N/A</v>
      </c>
      <c r="H47" s="285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46478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85" t="e">
        <f t="shared" si="1"/>
        <v>#N/A</v>
      </c>
      <c r="H48" s="285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46508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85" t="e">
        <f t="shared" si="1"/>
        <v>#N/A</v>
      </c>
      <c r="H49" s="285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46539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85" t="e">
        <f t="shared" si="1"/>
        <v>#N/A</v>
      </c>
      <c r="H50" s="285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46569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85" t="e">
        <f t="shared" si="1"/>
        <v>#N/A</v>
      </c>
      <c r="H51" s="285"/>
      <c r="I51" s="3"/>
    </row>
    <row r="52" spans="1:11" x14ac:dyDescent="0.2">
      <c r="A52" s="60"/>
      <c r="B52" s="128">
        <v>24</v>
      </c>
      <c r="C52" s="132">
        <f t="shared" ca="1" si="0"/>
        <v>46600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85" t="e">
        <f t="shared" si="1"/>
        <v>#N/A</v>
      </c>
      <c r="H52" s="285"/>
      <c r="I52" s="3"/>
    </row>
    <row r="53" spans="1:11" x14ac:dyDescent="0.2">
      <c r="A53" s="60"/>
      <c r="B53" s="128">
        <v>25</v>
      </c>
      <c r="C53" s="132">
        <f t="shared" ca="1" si="0"/>
        <v>46631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85" t="e">
        <f t="shared" si="1"/>
        <v>#N/A</v>
      </c>
      <c r="H53" s="285"/>
      <c r="I53" s="3"/>
    </row>
    <row r="54" spans="1:11" x14ac:dyDescent="0.2">
      <c r="A54" s="60"/>
      <c r="B54" s="128">
        <v>26</v>
      </c>
      <c r="C54" s="132">
        <f t="shared" ca="1" si="0"/>
        <v>46661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85" t="e">
        <f t="shared" si="1"/>
        <v>#N/A</v>
      </c>
      <c r="H54" s="285"/>
      <c r="I54" s="3"/>
    </row>
    <row r="55" spans="1:11" x14ac:dyDescent="0.2">
      <c r="A55" s="60"/>
      <c r="B55" s="128">
        <v>27</v>
      </c>
      <c r="C55" s="132">
        <f t="shared" ca="1" si="0"/>
        <v>46692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85" t="e">
        <f t="shared" si="1"/>
        <v>#N/A</v>
      </c>
      <c r="H55" s="285"/>
      <c r="I55" s="3"/>
    </row>
    <row r="56" spans="1:11" x14ac:dyDescent="0.2">
      <c r="A56" s="60"/>
      <c r="B56" s="128">
        <v>28</v>
      </c>
      <c r="C56" s="132">
        <f t="shared" ca="1" si="0"/>
        <v>46722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85" t="e">
        <f t="shared" si="1"/>
        <v>#N/A</v>
      </c>
      <c r="H56" s="285"/>
      <c r="I56" s="3"/>
    </row>
    <row r="57" spans="1:11" x14ac:dyDescent="0.2">
      <c r="A57" s="60"/>
      <c r="B57" s="128">
        <v>29</v>
      </c>
      <c r="C57" s="132">
        <f t="shared" ca="1" si="0"/>
        <v>46753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85" t="e">
        <f t="shared" si="1"/>
        <v>#N/A</v>
      </c>
      <c r="H57" s="285"/>
      <c r="I57" s="3"/>
    </row>
    <row r="58" spans="1:11" x14ac:dyDescent="0.2">
      <c r="A58" s="60">
        <v>25</v>
      </c>
      <c r="B58" s="128">
        <v>30</v>
      </c>
      <c r="C58" s="132">
        <f t="shared" ca="1" si="0"/>
        <v>46784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85" t="e">
        <f t="shared" si="1"/>
        <v>#N/A</v>
      </c>
      <c r="H58" s="285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46813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85" t="e">
        <f t="shared" si="1"/>
        <v>#N/A</v>
      </c>
      <c r="H59" s="285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46844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85" t="e">
        <f t="shared" si="1"/>
        <v>#N/A</v>
      </c>
      <c r="H60" s="285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46874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85" t="e">
        <f t="shared" si="1"/>
        <v>#N/A</v>
      </c>
      <c r="H61" s="285"/>
      <c r="I61" s="134"/>
      <c r="J61" s="134"/>
    </row>
    <row r="62" spans="1:11" x14ac:dyDescent="0.2">
      <c r="A62" s="60"/>
      <c r="B62" s="128">
        <v>34</v>
      </c>
      <c r="C62" s="132">
        <f t="shared" ca="1" si="0"/>
        <v>46905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85" t="e">
        <f t="shared" si="1"/>
        <v>#N/A</v>
      </c>
      <c r="H62" s="285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46935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85" t="e">
        <f t="shared" si="1"/>
        <v>#N/A</v>
      </c>
      <c r="H63" s="285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46966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85" t="e">
        <f t="shared" si="1"/>
        <v>#N/A</v>
      </c>
      <c r="H64" s="285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46997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85" t="e">
        <f t="shared" si="1"/>
        <v>#N/A</v>
      </c>
      <c r="H65" s="285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47027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85" t="e">
        <f t="shared" si="1"/>
        <v>#N/A</v>
      </c>
      <c r="H66" s="285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47058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85" t="e">
        <f t="shared" si="1"/>
        <v>#N/A</v>
      </c>
      <c r="H67" s="285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47088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85" t="e">
        <f t="shared" si="1"/>
        <v>#N/A</v>
      </c>
      <c r="H68" s="285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47119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85" t="e">
        <f t="shared" si="1"/>
        <v>#N/A</v>
      </c>
      <c r="H69" s="285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47150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85" t="e">
        <f t="shared" si="1"/>
        <v>#N/A</v>
      </c>
      <c r="H70" s="285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47178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85" t="e">
        <f t="shared" si="1"/>
        <v>#N/A</v>
      </c>
      <c r="H71" s="285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47209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85" t="e">
        <f t="shared" si="1"/>
        <v>#N/A</v>
      </c>
      <c r="H72" s="285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47239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85" t="e">
        <f t="shared" si="1"/>
        <v>#N/A</v>
      </c>
      <c r="H73" s="285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47270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85" t="e">
        <f t="shared" si="1"/>
        <v>#N/A</v>
      </c>
      <c r="H74" s="285"/>
      <c r="I74" s="134"/>
      <c r="J74" s="134"/>
    </row>
    <row r="75" spans="1:10" x14ac:dyDescent="0.2">
      <c r="A75" s="60"/>
      <c r="B75" s="128">
        <v>47</v>
      </c>
      <c r="C75" s="132">
        <f t="shared" ca="1" si="0"/>
        <v>47300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85" t="e">
        <f t="shared" si="1"/>
        <v>#N/A</v>
      </c>
      <c r="H75" s="285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47331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85" t="e">
        <f t="shared" si="1"/>
        <v>#N/A</v>
      </c>
      <c r="H76" s="285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47362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85" t="e">
        <f t="shared" si="1"/>
        <v>#N/A</v>
      </c>
      <c r="H77" s="285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47392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85" t="e">
        <f t="shared" si="1"/>
        <v>#N/A</v>
      </c>
      <c r="H78" s="285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47423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85" t="e">
        <f t="shared" si="1"/>
        <v>#N/A</v>
      </c>
      <c r="H79" s="285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47453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85" t="e">
        <f t="shared" si="1"/>
        <v>#N/A</v>
      </c>
      <c r="H80" s="285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47484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85" t="e">
        <f t="shared" si="1"/>
        <v>#N/A</v>
      </c>
      <c r="H81" s="285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47515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85" t="e">
        <f t="shared" si="1"/>
        <v>#N/A</v>
      </c>
      <c r="H82" s="285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47543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85" t="e">
        <f t="shared" si="1"/>
        <v>#N/A</v>
      </c>
      <c r="H83" s="285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47574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85" t="e">
        <f t="shared" si="1"/>
        <v>#N/A</v>
      </c>
      <c r="H84" s="285"/>
      <c r="I84" s="134"/>
      <c r="J84" s="134"/>
    </row>
    <row r="85" spans="1:10" x14ac:dyDescent="0.2">
      <c r="A85" s="60"/>
      <c r="B85" s="128">
        <v>57</v>
      </c>
      <c r="C85" s="132">
        <f t="shared" ca="1" si="0"/>
        <v>47604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85" t="e">
        <f t="shared" si="1"/>
        <v>#N/A</v>
      </c>
      <c r="H85" s="285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47635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85" t="e">
        <f t="shared" si="1"/>
        <v>#N/A</v>
      </c>
      <c r="H86" s="285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47665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85" t="e">
        <f t="shared" si="1"/>
        <v>#N/A</v>
      </c>
      <c r="H87" s="285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47696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86" t="e">
        <f t="shared" si="1"/>
        <v>#N/A</v>
      </c>
      <c r="H88" s="286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83" t="e">
        <f>SUM(G29:H88)</f>
        <v>#N/A</v>
      </c>
      <c r="H89" s="284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C96"/>
  <sheetViews>
    <sheetView tabSelected="1" view="pageBreakPreview" zoomScaleNormal="70" zoomScaleSheetLayoutView="100" workbookViewId="0">
      <pane ySplit="4" topLeftCell="A7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15.140625" style="4" hidden="1" customWidth="1" outlineLevel="1"/>
    <col min="12" max="12" width="8.710937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93" t="s">
        <v>80</v>
      </c>
      <c r="I1" s="293"/>
    </row>
    <row r="2" spans="1:29" ht="12.75" customHeight="1" x14ac:dyDescent="0.2">
      <c r="A2" s="2"/>
      <c r="B2" s="61"/>
      <c r="C2" s="61"/>
      <c r="D2" s="61"/>
      <c r="E2" s="139">
        <f>VLOOKUP('Позитив_Нестандарт СК'!H2,Лист2!A:O,14,FALSE)</f>
        <v>5000</v>
      </c>
      <c r="F2" s="126">
        <f>VLOOKUP(H$2,Лист2!$A:$H,2,0)</f>
        <v>260869.57</v>
      </c>
      <c r="G2" s="185">
        <f ca="1">TODAY()</f>
        <v>45869</v>
      </c>
      <c r="H2" s="267" t="s">
        <v>99</v>
      </c>
      <c r="I2" s="268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100000</v>
      </c>
      <c r="F3" s="269" t="str">
        <f>IF(E3="x","Збільшіть суму",IF(E3="y","Зменшіть суму",""))</f>
        <v/>
      </c>
      <c r="G3" s="77">
        <f>Назви!B35</f>
        <v>30.4</v>
      </c>
      <c r="H3" s="271" t="str">
        <f>VLOOKUP(H$2,Лист2!$A:$H,7,0)</f>
        <v>max. 260869,57 грн.</v>
      </c>
      <c r="I3" s="272"/>
      <c r="J3" s="50"/>
    </row>
    <row r="4" spans="1:29" ht="9" customHeight="1" thickBot="1" x14ac:dyDescent="0.25">
      <c r="A4" s="2"/>
      <c r="B4" s="2"/>
      <c r="C4" s="2"/>
      <c r="D4" s="2"/>
      <c r="E4" s="139"/>
      <c r="F4" s="269"/>
      <c r="G4" s="42"/>
      <c r="H4" s="188"/>
      <c r="I4" s="50"/>
      <c r="J4" s="50"/>
      <c r="K4" s="69"/>
    </row>
    <row r="5" spans="1:29" ht="21" customHeight="1" thickBot="1" x14ac:dyDescent="0.25">
      <c r="A5" s="1"/>
      <c r="B5" s="294" t="s">
        <v>82</v>
      </c>
      <c r="C5" s="295"/>
      <c r="D5" s="295"/>
      <c r="E5" s="296"/>
      <c r="F5" s="205">
        <v>100000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76" t="s">
        <v>81</v>
      </c>
      <c r="C7" s="277"/>
      <c r="D7" s="277"/>
      <c r="E7" s="278"/>
      <c r="F7" s="13">
        <f>D89</f>
        <v>115000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76" t="str">
        <f>Назви!A3</f>
        <v>Процентна ставка базова, % річних</v>
      </c>
      <c r="C9" s="277">
        <f>Назви!B3</f>
        <v>0</v>
      </c>
      <c r="D9" s="277">
        <f>Назви!C3</f>
        <v>0</v>
      </c>
      <c r="E9" s="278">
        <f>Назви!D3</f>
        <v>0</v>
      </c>
      <c r="F9" s="38">
        <f>VLOOKUP(H$2,Лист2!$A:$H,4,0)</f>
        <v>0.63990000000000002</v>
      </c>
      <c r="G9" s="289"/>
      <c r="H9" s="289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76" t="str">
        <f>Назви!A7</f>
        <v>Разовий страховий тариф, %</v>
      </c>
      <c r="C11" s="277">
        <f>Назви!B7</f>
        <v>0</v>
      </c>
      <c r="D11" s="277">
        <f>Назви!C7</f>
        <v>0</v>
      </c>
      <c r="E11" s="278">
        <f>Назви!D7</f>
        <v>0</v>
      </c>
      <c r="F11" s="38">
        <f>VLOOKUP(H$2,Лист2!$A:$H,5,0)</f>
        <v>0.15</v>
      </c>
      <c r="G11" s="289"/>
      <c r="H11" s="289"/>
      <c r="I11" s="3"/>
      <c r="J11" s="51"/>
      <c r="K11" s="162"/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/>
    </row>
    <row r="13" spans="1:29" x14ac:dyDescent="0.2">
      <c r="A13" s="1"/>
      <c r="B13" s="276" t="str">
        <f>Назви!A9</f>
        <v xml:space="preserve">Щомісячна плата за обслуговування кредитної заборгованості, % </v>
      </c>
      <c r="C13" s="277">
        <f>Назви!B9</f>
        <v>0</v>
      </c>
      <c r="D13" s="277">
        <f>Назви!C9</f>
        <v>0</v>
      </c>
      <c r="E13" s="278">
        <f>Назви!D9</f>
        <v>0</v>
      </c>
      <c r="F13" s="38">
        <f>VLOOKUP(H$2,Лист2!$A:$H,6,0)</f>
        <v>0</v>
      </c>
      <c r="G13" s="289"/>
      <c r="H13" s="289"/>
      <c r="I13" s="3"/>
      <c r="J13" s="51"/>
      <c r="K13" s="162" t="str">
        <f>Лист2!A8</f>
        <v>Позитив Нестандарт СК, 60 міс.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str">
        <f>Лист2!A9</f>
        <v>Позитив Нестандарт СК, 36 міс.</v>
      </c>
    </row>
    <row r="15" spans="1:29" x14ac:dyDescent="0.2">
      <c r="A15" s="1"/>
      <c r="B15" s="276" t="str">
        <f>Назви!A11</f>
        <v>Термін кредитування (міс.)</v>
      </c>
      <c r="C15" s="277">
        <f>Назви!B11</f>
        <v>0</v>
      </c>
      <c r="D15" s="277">
        <f>Назви!C11</f>
        <v>0</v>
      </c>
      <c r="E15" s="278">
        <f>Назви!D11</f>
        <v>0</v>
      </c>
      <c r="F15" s="64">
        <f>VLOOKUP(H$2,Лист2!$A:$H,3,0)</f>
        <v>60</v>
      </c>
      <c r="G15" s="289"/>
      <c r="H15" s="289"/>
      <c r="I15" s="3"/>
      <c r="J15" s="51"/>
      <c r="K15" s="162" t="str">
        <f>Лист2!A10</f>
        <v>Позитив Нестандарт СК, 24 міс.</v>
      </c>
    </row>
    <row r="16" spans="1:29" s="12" customFormat="1" ht="7.9" customHeight="1" x14ac:dyDescent="0.2">
      <c r="A16" s="1"/>
      <c r="B16" s="10"/>
      <c r="C16" s="59"/>
      <c r="D16" s="116"/>
      <c r="E16" s="182">
        <f>F5*F11</f>
        <v>15000</v>
      </c>
      <c r="F16" s="61"/>
      <c r="G16" s="120"/>
      <c r="H16" s="11"/>
      <c r="I16" s="1"/>
      <c r="J16" s="52"/>
      <c r="K16" s="162" t="str">
        <f>Лист2!A11</f>
        <v>Позитив Нестандарт СК, 12 міс.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115000</v>
      </c>
      <c r="F17" s="61"/>
      <c r="G17" s="120"/>
      <c r="H17" s="11"/>
      <c r="I17" s="1"/>
      <c r="J17" s="124"/>
      <c r="K17" s="16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79" t="str">
        <f>Назви!A14</f>
        <v>Орієнтовний платіж, грн.</v>
      </c>
      <c r="C18" s="280">
        <f>Назви!B14</f>
        <v>0</v>
      </c>
      <c r="D18" s="280">
        <f>Назви!C14</f>
        <v>0</v>
      </c>
      <c r="E18" s="281">
        <f>Назви!D14</f>
        <v>0</v>
      </c>
      <c r="F18" s="13">
        <f>PMT(F9/12,F15,-E17)+F13*E17</f>
        <v>6416.5309626617018</v>
      </c>
      <c r="G18" s="290"/>
      <c r="H18" s="291"/>
      <c r="I18" s="133"/>
      <c r="J18" s="52"/>
      <c r="K18" s="16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79" t="str">
        <f>Назви!A16</f>
        <v>Орієнтовні загальні витрати за кредитом, грн.</v>
      </c>
      <c r="C20" s="280">
        <f>Назви!B16</f>
        <v>0</v>
      </c>
      <c r="D20" s="280">
        <f>Назви!C16</f>
        <v>0</v>
      </c>
      <c r="E20" s="281">
        <f>Назви!D16</f>
        <v>0</v>
      </c>
      <c r="F20" s="13">
        <f>G89-E3</f>
        <v>284991.85775970237</v>
      </c>
      <c r="G20" s="292"/>
      <c r="H20" s="292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79" t="str">
        <f>Назви!A18</f>
        <v>Орієнтовна загальна вартість кредиту, грн.</v>
      </c>
      <c r="C22" s="280">
        <f>Назви!B18</f>
        <v>0</v>
      </c>
      <c r="D22" s="280">
        <f>Назви!C18</f>
        <v>0</v>
      </c>
      <c r="E22" s="281">
        <f>Назви!D18</f>
        <v>0</v>
      </c>
      <c r="F22" s="13">
        <f>F7+F20</f>
        <v>399991.85775970237</v>
      </c>
      <c r="G22" s="289"/>
      <c r="H22" s="289"/>
      <c r="I22" s="1"/>
      <c r="J22" s="53"/>
      <c r="K22" s="16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79" t="str">
        <f>Назви!A20</f>
        <v>Реальна річна процентна ставка, %</v>
      </c>
      <c r="C24" s="280"/>
      <c r="D24" s="280"/>
      <c r="E24" s="281"/>
      <c r="F24" s="38">
        <f ca="1">XIRR(G28:G88,C28:C88)</f>
        <v>1.0651818156242372</v>
      </c>
      <c r="G24" s="17"/>
      <c r="H24" s="18"/>
      <c r="I24" s="1"/>
      <c r="J24" s="1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58" t="str">
        <f>Назви!A29</f>
        <v>Орієнтовний порядок повернення кредиту</v>
      </c>
      <c r="C26" s="259"/>
      <c r="D26" s="259"/>
      <c r="E26" s="259"/>
      <c r="F26" s="259"/>
      <c r="G26" s="259"/>
      <c r="H26" s="26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61" t="str">
        <f>Назви!F30</f>
        <v>Сума платежу за розрахунковий період, грн.</v>
      </c>
      <c r="H27" s="26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45869</v>
      </c>
      <c r="D28" s="113"/>
      <c r="E28" s="114"/>
      <c r="F28" s="113"/>
      <c r="G28" s="287">
        <f>-1*E3</f>
        <v>-100000</v>
      </c>
      <c r="H28" s="28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45900</v>
      </c>
      <c r="D29" s="207">
        <f>IFERROR(PPMT($F$9/12,B29,$F$15,-$E$17),0)</f>
        <v>284.15596266170161</v>
      </c>
      <c r="E29" s="194">
        <v>0</v>
      </c>
      <c r="F29" s="194">
        <f>IFERROR(IPMT($F$9/12,B29,$F$15,-$F$7),0)</f>
        <v>6132.3750000000009</v>
      </c>
      <c r="G29" s="263">
        <f>SUM(D29:F29)</f>
        <v>6416.5309626617027</v>
      </c>
      <c r="H29" s="26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45931</v>
      </c>
      <c r="D30" s="208">
        <f t="shared" ref="D30:D88" si="1">IFERROR(PPMT($F$9/12,B30,$F$15,-$E$17),0)</f>
        <v>299.30857937063683</v>
      </c>
      <c r="E30" s="196">
        <v>0</v>
      </c>
      <c r="F30" s="196">
        <f t="shared" ref="F30:F88" si="2">IFERROR(IPMT($F$9/12,B30,$F$15,-$F$7),0)</f>
        <v>6117.2223832910649</v>
      </c>
      <c r="G30" s="285">
        <f t="shared" ref="G30:G88" si="3">SUM(D30:F30)</f>
        <v>6416.5309626617018</v>
      </c>
      <c r="H30" s="299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45962</v>
      </c>
      <c r="D31" s="208">
        <f t="shared" si="1"/>
        <v>315.26920936557605</v>
      </c>
      <c r="E31" s="196">
        <v>0</v>
      </c>
      <c r="F31" s="196">
        <f t="shared" si="2"/>
        <v>6101.2617532961258</v>
      </c>
      <c r="G31" s="285">
        <f t="shared" si="3"/>
        <v>6416.5309626617018</v>
      </c>
      <c r="H31" s="299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45992</v>
      </c>
      <c r="D32" s="208">
        <f t="shared" si="1"/>
        <v>332.08093995499542</v>
      </c>
      <c r="E32" s="196">
        <v>0</v>
      </c>
      <c r="F32" s="196">
        <f t="shared" si="2"/>
        <v>6084.4500227067065</v>
      </c>
      <c r="G32" s="285">
        <f t="shared" si="3"/>
        <v>6416.5309626617018</v>
      </c>
      <c r="H32" s="299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46023</v>
      </c>
      <c r="D33" s="208">
        <f t="shared" si="1"/>
        <v>349.78915607809557</v>
      </c>
      <c r="E33" s="196">
        <v>0</v>
      </c>
      <c r="F33" s="196">
        <f t="shared" si="2"/>
        <v>6066.7418065836064</v>
      </c>
      <c r="G33" s="285">
        <f t="shared" si="3"/>
        <v>6416.5309626617018</v>
      </c>
      <c r="H33" s="299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46054</v>
      </c>
      <c r="D34" s="208">
        <f t="shared" si="1"/>
        <v>368.44166282595995</v>
      </c>
      <c r="E34" s="196">
        <v>0</v>
      </c>
      <c r="F34" s="196">
        <f t="shared" si="2"/>
        <v>6048.0892998357413</v>
      </c>
      <c r="G34" s="285">
        <f t="shared" si="3"/>
        <v>6416.5309626617009</v>
      </c>
      <c r="H34" s="299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46082</v>
      </c>
      <c r="D35" s="208">
        <f t="shared" si="1"/>
        <v>388.08881449615433</v>
      </c>
      <c r="E35" s="196">
        <v>0</v>
      </c>
      <c r="F35" s="196">
        <f t="shared" si="2"/>
        <v>6028.4421481655472</v>
      </c>
      <c r="G35" s="285">
        <f t="shared" si="3"/>
        <v>6416.5309626617018</v>
      </c>
      <c r="H35" s="299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46113</v>
      </c>
      <c r="D36" s="208">
        <f t="shared" si="1"/>
        <v>408.78365052916172</v>
      </c>
      <c r="E36" s="196">
        <v>0</v>
      </c>
      <c r="F36" s="196">
        <f t="shared" si="2"/>
        <v>6007.7473121325402</v>
      </c>
      <c r="G36" s="285">
        <f t="shared" si="3"/>
        <v>6416.5309626617018</v>
      </c>
      <c r="H36" s="299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46143</v>
      </c>
      <c r="D37" s="208">
        <f t="shared" si="1"/>
        <v>430.58203869362933</v>
      </c>
      <c r="E37" s="196">
        <v>0</v>
      </c>
      <c r="F37" s="196">
        <f t="shared" si="2"/>
        <v>5985.9489239680724</v>
      </c>
      <c r="G37" s="285">
        <f t="shared" si="3"/>
        <v>6416.5309626617018</v>
      </c>
      <c r="H37" s="299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46174</v>
      </c>
      <c r="D38" s="208">
        <f t="shared" si="1"/>
        <v>453.54282590696704</v>
      </c>
      <c r="E38" s="196">
        <v>0</v>
      </c>
      <c r="F38" s="196">
        <f t="shared" si="2"/>
        <v>5962.9881367547341</v>
      </c>
      <c r="G38" s="285">
        <f t="shared" si="3"/>
        <v>6416.5309626617009</v>
      </c>
      <c r="H38" s="299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46204</v>
      </c>
      <c r="D39" s="208">
        <f t="shared" si="1"/>
        <v>477.72799709845617</v>
      </c>
      <c r="E39" s="196">
        <v>0</v>
      </c>
      <c r="F39" s="196">
        <f t="shared" si="2"/>
        <v>5938.8029655632463</v>
      </c>
      <c r="G39" s="285">
        <f t="shared" si="3"/>
        <v>6416.5309626617027</v>
      </c>
      <c r="H39" s="299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46235</v>
      </c>
      <c r="D40" s="208">
        <f t="shared" si="1"/>
        <v>503.20284254373132</v>
      </c>
      <c r="E40" s="196">
        <v>0</v>
      </c>
      <c r="F40" s="196">
        <f t="shared" si="2"/>
        <v>5913.3281201179707</v>
      </c>
      <c r="G40" s="285">
        <f t="shared" si="3"/>
        <v>6416.5309626617018</v>
      </c>
      <c r="H40" s="299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46266</v>
      </c>
      <c r="D41" s="208">
        <f t="shared" si="1"/>
        <v>530.03613412237576</v>
      </c>
      <c r="E41" s="196">
        <v>0</v>
      </c>
      <c r="F41" s="196">
        <f t="shared" si="2"/>
        <v>5886.4948285393266</v>
      </c>
      <c r="G41" s="285">
        <f t="shared" si="3"/>
        <v>6416.5309626617027</v>
      </c>
      <c r="H41" s="299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46296</v>
      </c>
      <c r="D42" s="208">
        <f t="shared" si="1"/>
        <v>558.30031097445124</v>
      </c>
      <c r="E42" s="196">
        <v>0</v>
      </c>
      <c r="F42" s="196">
        <f t="shared" si="2"/>
        <v>5858.2306516872495</v>
      </c>
      <c r="G42" s="285">
        <f t="shared" si="3"/>
        <v>6416.5309626617009</v>
      </c>
      <c r="H42" s="299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46327</v>
      </c>
      <c r="D43" s="208">
        <f t="shared" si="1"/>
        <v>588.07167505716382</v>
      </c>
      <c r="E43" s="196">
        <v>0</v>
      </c>
      <c r="F43" s="196">
        <f t="shared" si="2"/>
        <v>5828.4592876045381</v>
      </c>
      <c r="G43" s="285">
        <f t="shared" si="3"/>
        <v>6416.5309626617018</v>
      </c>
      <c r="H43" s="299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46357</v>
      </c>
      <c r="D44" s="208">
        <f t="shared" si="1"/>
        <v>619.43059712958711</v>
      </c>
      <c r="E44" s="196">
        <v>0</v>
      </c>
      <c r="F44" s="196">
        <f t="shared" si="2"/>
        <v>5797.1003655321147</v>
      </c>
      <c r="G44" s="285">
        <f t="shared" si="3"/>
        <v>6416.5309626617018</v>
      </c>
      <c r="H44" s="299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46388</v>
      </c>
      <c r="D45" s="208">
        <f t="shared" si="1"/>
        <v>652.46173372152236</v>
      </c>
      <c r="E45" s="196">
        <v>0</v>
      </c>
      <c r="F45" s="196">
        <f t="shared" si="2"/>
        <v>5764.0692289401795</v>
      </c>
      <c r="G45" s="285">
        <f t="shared" si="3"/>
        <v>6416.5309626617018</v>
      </c>
      <c r="H45" s="299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46419</v>
      </c>
      <c r="D46" s="208">
        <f t="shared" si="1"/>
        <v>687.2542556722226</v>
      </c>
      <c r="E46" s="196">
        <v>0</v>
      </c>
      <c r="F46" s="196">
        <f t="shared" si="2"/>
        <v>5729.2767069894799</v>
      </c>
      <c r="G46" s="285">
        <f t="shared" si="3"/>
        <v>6416.5309626617027</v>
      </c>
      <c r="H46" s="299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46447</v>
      </c>
      <c r="D47" s="208">
        <f t="shared" si="1"/>
        <v>723.90208885594382</v>
      </c>
      <c r="E47" s="196">
        <v>0</v>
      </c>
      <c r="F47" s="196">
        <f t="shared" si="2"/>
        <v>5692.6288738057574</v>
      </c>
      <c r="G47" s="285">
        <f t="shared" si="3"/>
        <v>6416.5309626617009</v>
      </c>
      <c r="H47" s="299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46478</v>
      </c>
      <c r="D48" s="208">
        <f t="shared" si="1"/>
        <v>762.50416774418704</v>
      </c>
      <c r="E48" s="196">
        <v>0</v>
      </c>
      <c r="F48" s="196">
        <f t="shared" si="2"/>
        <v>5654.0267949175141</v>
      </c>
      <c r="G48" s="285">
        <f t="shared" si="3"/>
        <v>6416.5309626617009</v>
      </c>
      <c r="H48" s="299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46508</v>
      </c>
      <c r="D49" s="208">
        <f t="shared" si="1"/>
        <v>803.16470248914572</v>
      </c>
      <c r="E49" s="196">
        <v>0</v>
      </c>
      <c r="F49" s="196">
        <f t="shared" si="2"/>
        <v>5613.3662601725564</v>
      </c>
      <c r="G49" s="285">
        <f t="shared" si="3"/>
        <v>6416.5309626617018</v>
      </c>
      <c r="H49" s="299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46539</v>
      </c>
      <c r="D50" s="208">
        <f t="shared" si="1"/>
        <v>845.99346024937961</v>
      </c>
      <c r="E50" s="196">
        <v>0</v>
      </c>
      <c r="F50" s="196">
        <f t="shared" si="2"/>
        <v>5570.5375024123223</v>
      </c>
      <c r="G50" s="285">
        <f t="shared" si="3"/>
        <v>6416.5309626617018</v>
      </c>
      <c r="H50" s="299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46569</v>
      </c>
      <c r="D51" s="208">
        <f t="shared" si="1"/>
        <v>891.10606151717775</v>
      </c>
      <c r="E51" s="196">
        <v>0</v>
      </c>
      <c r="F51" s="196">
        <f t="shared" si="2"/>
        <v>5525.4249011445245</v>
      </c>
      <c r="G51" s="285">
        <f t="shared" si="3"/>
        <v>6416.5309626617018</v>
      </c>
      <c r="H51" s="299"/>
      <c r="I51" s="3"/>
    </row>
    <row r="52" spans="1:11" x14ac:dyDescent="0.2">
      <c r="A52" s="60"/>
      <c r="B52" s="215">
        <v>24</v>
      </c>
      <c r="C52" s="212">
        <f t="shared" ca="1" si="0"/>
        <v>46600</v>
      </c>
      <c r="D52" s="208">
        <f t="shared" si="1"/>
        <v>938.62429224758125</v>
      </c>
      <c r="E52" s="196">
        <v>0</v>
      </c>
      <c r="F52" s="196">
        <f t="shared" si="2"/>
        <v>5477.9066704141205</v>
      </c>
      <c r="G52" s="285">
        <f t="shared" si="3"/>
        <v>6416.5309626617018</v>
      </c>
      <c r="H52" s="299"/>
      <c r="I52" s="3"/>
    </row>
    <row r="53" spans="1:11" x14ac:dyDescent="0.2">
      <c r="A53" s="60"/>
      <c r="B53" s="215">
        <v>25</v>
      </c>
      <c r="C53" s="212">
        <f t="shared" ca="1" si="0"/>
        <v>46631</v>
      </c>
      <c r="D53" s="208">
        <f t="shared" si="1"/>
        <v>988.67643263168361</v>
      </c>
      <c r="E53" s="196">
        <v>0</v>
      </c>
      <c r="F53" s="196">
        <f t="shared" si="2"/>
        <v>5427.8545300300175</v>
      </c>
      <c r="G53" s="285">
        <f t="shared" si="3"/>
        <v>6416.5309626617009</v>
      </c>
      <c r="H53" s="299"/>
      <c r="I53" s="3"/>
    </row>
    <row r="54" spans="1:11" x14ac:dyDescent="0.2">
      <c r="A54" s="60"/>
      <c r="B54" s="215">
        <v>26</v>
      </c>
      <c r="C54" s="212">
        <f t="shared" ca="1" si="0"/>
        <v>46661</v>
      </c>
      <c r="D54" s="208">
        <f t="shared" si="1"/>
        <v>1041.397603401768</v>
      </c>
      <c r="E54" s="196">
        <v>0</v>
      </c>
      <c r="F54" s="196">
        <f t="shared" si="2"/>
        <v>5375.1333592599349</v>
      </c>
      <c r="G54" s="285">
        <f t="shared" si="3"/>
        <v>6416.5309626617027</v>
      </c>
      <c r="H54" s="299"/>
      <c r="I54" s="3"/>
    </row>
    <row r="55" spans="1:11" x14ac:dyDescent="0.2">
      <c r="A55" s="60"/>
      <c r="B55" s="215">
        <v>27</v>
      </c>
      <c r="C55" s="212">
        <f t="shared" ca="1" si="0"/>
        <v>46692</v>
      </c>
      <c r="D55" s="208">
        <f t="shared" si="1"/>
        <v>1096.9301306031673</v>
      </c>
      <c r="E55" s="196">
        <v>0</v>
      </c>
      <c r="F55" s="196">
        <f t="shared" si="2"/>
        <v>5319.6008320585343</v>
      </c>
      <c r="G55" s="285">
        <f t="shared" si="3"/>
        <v>6416.5309626617018</v>
      </c>
      <c r="H55" s="299"/>
      <c r="I55" s="3"/>
    </row>
    <row r="56" spans="1:11" x14ac:dyDescent="0.2">
      <c r="A56" s="60"/>
      <c r="B56" s="215">
        <v>28</v>
      </c>
      <c r="C56" s="212">
        <f t="shared" ca="1" si="0"/>
        <v>46722</v>
      </c>
      <c r="D56" s="208">
        <f t="shared" si="1"/>
        <v>1155.4239298175814</v>
      </c>
      <c r="E56" s="196">
        <v>0</v>
      </c>
      <c r="F56" s="196">
        <f t="shared" si="2"/>
        <v>5261.107032844121</v>
      </c>
      <c r="G56" s="285">
        <f t="shared" si="3"/>
        <v>6416.5309626617027</v>
      </c>
      <c r="H56" s="299"/>
      <c r="I56" s="3"/>
    </row>
    <row r="57" spans="1:11" x14ac:dyDescent="0.2">
      <c r="A57" s="60"/>
      <c r="B57" s="215">
        <v>29</v>
      </c>
      <c r="C57" s="212">
        <f t="shared" ca="1" si="0"/>
        <v>46753</v>
      </c>
      <c r="D57" s="208">
        <f t="shared" si="1"/>
        <v>1217.0369108751038</v>
      </c>
      <c r="E57" s="196">
        <v>0</v>
      </c>
      <c r="F57" s="196">
        <f t="shared" si="2"/>
        <v>5199.494051786598</v>
      </c>
      <c r="G57" s="285">
        <f t="shared" si="3"/>
        <v>6416.5309626617018</v>
      </c>
      <c r="H57" s="299"/>
      <c r="I57" s="3"/>
    </row>
    <row r="58" spans="1:11" x14ac:dyDescent="0.2">
      <c r="A58" s="60">
        <v>25</v>
      </c>
      <c r="B58" s="215">
        <v>30</v>
      </c>
      <c r="C58" s="212">
        <f t="shared" ca="1" si="0"/>
        <v>46784</v>
      </c>
      <c r="D58" s="208">
        <f t="shared" si="1"/>
        <v>1281.9354041475187</v>
      </c>
      <c r="E58" s="196">
        <v>0</v>
      </c>
      <c r="F58" s="196">
        <f t="shared" si="2"/>
        <v>5134.5955585141828</v>
      </c>
      <c r="G58" s="285">
        <f t="shared" si="3"/>
        <v>6416.5309626617018</v>
      </c>
      <c r="H58" s="299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46813</v>
      </c>
      <c r="D59" s="208">
        <f t="shared" si="1"/>
        <v>1350.2946095736852</v>
      </c>
      <c r="E59" s="196">
        <v>0</v>
      </c>
      <c r="F59" s="196">
        <f t="shared" si="2"/>
        <v>5066.2363530880166</v>
      </c>
      <c r="G59" s="285">
        <f t="shared" si="3"/>
        <v>6416.5309626617018</v>
      </c>
      <c r="H59" s="299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46844</v>
      </c>
      <c r="D60" s="208">
        <f t="shared" si="1"/>
        <v>1422.2990696292018</v>
      </c>
      <c r="E60" s="196">
        <v>0</v>
      </c>
      <c r="F60" s="196">
        <f t="shared" si="2"/>
        <v>4994.2318930325</v>
      </c>
      <c r="G60" s="285">
        <f t="shared" si="3"/>
        <v>6416.5309626617018</v>
      </c>
      <c r="H60" s="299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46874</v>
      </c>
      <c r="D61" s="208">
        <f t="shared" si="1"/>
        <v>1498.1431675171791</v>
      </c>
      <c r="E61" s="196">
        <v>0</v>
      </c>
      <c r="F61" s="196">
        <f t="shared" si="2"/>
        <v>4918.3877951445229</v>
      </c>
      <c r="G61" s="285">
        <f t="shared" si="3"/>
        <v>6416.5309626617018</v>
      </c>
      <c r="H61" s="299"/>
      <c r="I61" s="134"/>
      <c r="J61" s="134"/>
    </row>
    <row r="62" spans="1:11" x14ac:dyDescent="0.2">
      <c r="A62" s="60"/>
      <c r="B62" s="215">
        <v>34</v>
      </c>
      <c r="C62" s="212">
        <f t="shared" ca="1" si="0"/>
        <v>46905</v>
      </c>
      <c r="D62" s="208">
        <f t="shared" si="1"/>
        <v>1578.0316519250327</v>
      </c>
      <c r="E62" s="196">
        <v>0</v>
      </c>
      <c r="F62" s="196">
        <f t="shared" si="2"/>
        <v>4838.499310736669</v>
      </c>
      <c r="G62" s="285">
        <f t="shared" si="3"/>
        <v>6416.5309626617018</v>
      </c>
      <c r="H62" s="299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46935</v>
      </c>
      <c r="D63" s="208">
        <f t="shared" si="1"/>
        <v>1662.180189763935</v>
      </c>
      <c r="E63" s="196">
        <v>0</v>
      </c>
      <c r="F63" s="196">
        <f t="shared" si="2"/>
        <v>4754.3507728977665</v>
      </c>
      <c r="G63" s="285">
        <f t="shared" si="3"/>
        <v>6416.5309626617018</v>
      </c>
      <c r="H63" s="299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46966</v>
      </c>
      <c r="D64" s="208">
        <f t="shared" si="1"/>
        <v>1750.8159483830968</v>
      </c>
      <c r="E64" s="196">
        <v>0</v>
      </c>
      <c r="F64" s="196">
        <f t="shared" si="2"/>
        <v>4665.7150142786049</v>
      </c>
      <c r="G64" s="285">
        <f t="shared" si="3"/>
        <v>6416.5309626617018</v>
      </c>
      <c r="H64" s="299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46997</v>
      </c>
      <c r="D65" s="208">
        <f t="shared" si="1"/>
        <v>1844.1782088306259</v>
      </c>
      <c r="E65" s="196">
        <v>0</v>
      </c>
      <c r="F65" s="196">
        <f t="shared" si="2"/>
        <v>4572.3527538310764</v>
      </c>
      <c r="G65" s="285">
        <f t="shared" si="3"/>
        <v>6416.5309626617018</v>
      </c>
      <c r="H65" s="299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47027</v>
      </c>
      <c r="D66" s="208">
        <f t="shared" si="1"/>
        <v>1942.5190118165183</v>
      </c>
      <c r="E66" s="196">
        <v>0</v>
      </c>
      <c r="F66" s="196">
        <f t="shared" si="2"/>
        <v>4474.0119508451835</v>
      </c>
      <c r="G66" s="285">
        <f t="shared" si="3"/>
        <v>6416.5309626617018</v>
      </c>
      <c r="H66" s="299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47058</v>
      </c>
      <c r="D67" s="208">
        <f t="shared" si="1"/>
        <v>2046.1038381216342</v>
      </c>
      <c r="E67" s="196">
        <v>0</v>
      </c>
      <c r="F67" s="196">
        <f t="shared" si="2"/>
        <v>4370.4271245400678</v>
      </c>
      <c r="G67" s="285">
        <f t="shared" si="3"/>
        <v>6416.5309626617018</v>
      </c>
      <c r="H67" s="299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47088</v>
      </c>
      <c r="D68" s="208">
        <f t="shared" si="1"/>
        <v>2155.2123252894703</v>
      </c>
      <c r="E68" s="196">
        <v>0</v>
      </c>
      <c r="F68" s="196">
        <f t="shared" si="2"/>
        <v>4261.318637372231</v>
      </c>
      <c r="G68" s="285">
        <f t="shared" si="3"/>
        <v>6416.5309626617018</v>
      </c>
      <c r="H68" s="299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47119</v>
      </c>
      <c r="D69" s="208">
        <f t="shared" si="1"/>
        <v>2270.1390225355312</v>
      </c>
      <c r="E69" s="196">
        <v>0</v>
      </c>
      <c r="F69" s="196">
        <f t="shared" si="2"/>
        <v>4146.391940126171</v>
      </c>
      <c r="G69" s="285">
        <f t="shared" si="3"/>
        <v>6416.5309626617018</v>
      </c>
      <c r="H69" s="299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47150</v>
      </c>
      <c r="D70" s="208">
        <f t="shared" si="1"/>
        <v>2391.1941859122385</v>
      </c>
      <c r="E70" s="196">
        <v>0</v>
      </c>
      <c r="F70" s="196">
        <f t="shared" si="2"/>
        <v>4025.3367767494628</v>
      </c>
      <c r="G70" s="285">
        <f t="shared" si="3"/>
        <v>6416.5309626617018</v>
      </c>
      <c r="H70" s="299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47178</v>
      </c>
      <c r="D71" s="208">
        <f t="shared" si="1"/>
        <v>2518.704615876009</v>
      </c>
      <c r="E71" s="196">
        <v>0</v>
      </c>
      <c r="F71" s="196">
        <f t="shared" si="2"/>
        <v>3897.8263467856932</v>
      </c>
      <c r="G71" s="285">
        <f t="shared" si="3"/>
        <v>6416.5309626617018</v>
      </c>
      <c r="H71" s="299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47209</v>
      </c>
      <c r="D72" s="208">
        <f t="shared" si="1"/>
        <v>2653.0145395175969</v>
      </c>
      <c r="E72" s="196">
        <v>0</v>
      </c>
      <c r="F72" s="196">
        <f t="shared" si="2"/>
        <v>3763.516423144104</v>
      </c>
      <c r="G72" s="285">
        <f t="shared" si="3"/>
        <v>6416.5309626617009</v>
      </c>
      <c r="H72" s="299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47239</v>
      </c>
      <c r="D73" s="208">
        <f t="shared" si="1"/>
        <v>2794.4865398373727</v>
      </c>
      <c r="E73" s="196">
        <v>0</v>
      </c>
      <c r="F73" s="196">
        <f t="shared" si="2"/>
        <v>3622.0444228243286</v>
      </c>
      <c r="G73" s="285">
        <f t="shared" si="3"/>
        <v>6416.5309626617018</v>
      </c>
      <c r="H73" s="299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47270</v>
      </c>
      <c r="D74" s="208">
        <f t="shared" si="1"/>
        <v>2943.502534574201</v>
      </c>
      <c r="E74" s="196">
        <v>0</v>
      </c>
      <c r="F74" s="196">
        <f t="shared" si="2"/>
        <v>3473.0284280875012</v>
      </c>
      <c r="G74" s="285">
        <f t="shared" si="3"/>
        <v>6416.5309626617018</v>
      </c>
      <c r="H74" s="299"/>
      <c r="I74" s="134"/>
      <c r="J74" s="134"/>
    </row>
    <row r="75" spans="1:10" x14ac:dyDescent="0.2">
      <c r="A75" s="60"/>
      <c r="B75" s="215">
        <v>47</v>
      </c>
      <c r="C75" s="212">
        <f t="shared" ca="1" si="0"/>
        <v>47300</v>
      </c>
      <c r="D75" s="208">
        <f t="shared" si="1"/>
        <v>3100.4648072303703</v>
      </c>
      <c r="E75" s="196">
        <v>0</v>
      </c>
      <c r="F75" s="196">
        <f t="shared" si="2"/>
        <v>3316.066155431331</v>
      </c>
      <c r="G75" s="285">
        <f t="shared" si="3"/>
        <v>6416.5309626617018</v>
      </c>
      <c r="H75" s="299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47331</v>
      </c>
      <c r="D76" s="208">
        <f t="shared" si="1"/>
        <v>3265.7970930759302</v>
      </c>
      <c r="E76" s="196">
        <v>0</v>
      </c>
      <c r="F76" s="196">
        <f t="shared" si="2"/>
        <v>3150.733869585772</v>
      </c>
      <c r="G76" s="285">
        <f t="shared" si="3"/>
        <v>6416.5309626617018</v>
      </c>
      <c r="H76" s="299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47362</v>
      </c>
      <c r="D77" s="208">
        <f t="shared" si="1"/>
        <v>3439.9457230642033</v>
      </c>
      <c r="E77" s="196">
        <v>0</v>
      </c>
      <c r="F77" s="196">
        <f t="shared" si="2"/>
        <v>2976.5852395974975</v>
      </c>
      <c r="G77" s="285">
        <f t="shared" si="3"/>
        <v>6416.5309626617009</v>
      </c>
      <c r="H77" s="299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47392</v>
      </c>
      <c r="D78" s="208">
        <f t="shared" si="1"/>
        <v>3623.3808287466022</v>
      </c>
      <c r="E78" s="196">
        <v>0</v>
      </c>
      <c r="F78" s="196">
        <f t="shared" si="2"/>
        <v>2793.1501339150996</v>
      </c>
      <c r="G78" s="285">
        <f t="shared" si="3"/>
        <v>6416.5309626617018</v>
      </c>
      <c r="H78" s="299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47423</v>
      </c>
      <c r="D79" s="208">
        <f t="shared" si="1"/>
        <v>3816.5976114395153</v>
      </c>
      <c r="E79" s="196">
        <v>0</v>
      </c>
      <c r="F79" s="196">
        <f t="shared" si="2"/>
        <v>2599.933351222187</v>
      </c>
      <c r="G79" s="285">
        <f t="shared" si="3"/>
        <v>6416.5309626617018</v>
      </c>
      <c r="H79" s="299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47453</v>
      </c>
      <c r="D80" s="208">
        <f t="shared" si="1"/>
        <v>4020.1176790695272</v>
      </c>
      <c r="E80" s="196">
        <v>0</v>
      </c>
      <c r="F80" s="196">
        <f t="shared" si="2"/>
        <v>2396.413283592175</v>
      </c>
      <c r="G80" s="285">
        <f t="shared" si="3"/>
        <v>6416.5309626617018</v>
      </c>
      <c r="H80" s="299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47484</v>
      </c>
      <c r="D81" s="208">
        <f t="shared" si="1"/>
        <v>4234.4904543059092</v>
      </c>
      <c r="E81" s="196">
        <v>0</v>
      </c>
      <c r="F81" s="196">
        <f t="shared" si="2"/>
        <v>2182.0405083557926</v>
      </c>
      <c r="G81" s="285">
        <f t="shared" si="3"/>
        <v>6416.5309626617018</v>
      </c>
      <c r="H81" s="299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47515</v>
      </c>
      <c r="D82" s="208">
        <f t="shared" si="1"/>
        <v>4460.294657781772</v>
      </c>
      <c r="E82" s="196">
        <v>0</v>
      </c>
      <c r="F82" s="196">
        <f t="shared" si="2"/>
        <v>1956.2363048799298</v>
      </c>
      <c r="G82" s="285">
        <f t="shared" si="3"/>
        <v>6416.5309626617018</v>
      </c>
      <c r="H82" s="299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47543</v>
      </c>
      <c r="D83" s="208">
        <f t="shared" si="1"/>
        <v>4698.1398704079847</v>
      </c>
      <c r="E83" s="196">
        <v>0</v>
      </c>
      <c r="F83" s="196">
        <f t="shared" si="2"/>
        <v>1718.3910922537166</v>
      </c>
      <c r="G83" s="285">
        <f t="shared" si="3"/>
        <v>6416.5309626617018</v>
      </c>
      <c r="H83" s="299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47574</v>
      </c>
      <c r="D84" s="208">
        <f t="shared" si="1"/>
        <v>4948.66817899749</v>
      </c>
      <c r="E84" s="196">
        <v>0</v>
      </c>
      <c r="F84" s="196">
        <f t="shared" si="2"/>
        <v>1467.8627836642111</v>
      </c>
      <c r="G84" s="285">
        <f t="shared" si="3"/>
        <v>6416.5309626617009</v>
      </c>
      <c r="H84" s="299"/>
      <c r="I84" s="134"/>
      <c r="J84" s="134"/>
    </row>
    <row r="85" spans="1:10" x14ac:dyDescent="0.2">
      <c r="A85" s="60"/>
      <c r="B85" s="215">
        <v>57</v>
      </c>
      <c r="C85" s="212">
        <f t="shared" ca="1" si="0"/>
        <v>47604</v>
      </c>
      <c r="D85" s="208">
        <f t="shared" si="1"/>
        <v>5212.5559096425313</v>
      </c>
      <c r="E85" s="196">
        <v>0</v>
      </c>
      <c r="F85" s="196">
        <f t="shared" si="2"/>
        <v>1203.9750530191698</v>
      </c>
      <c r="G85" s="285">
        <f t="shared" si="3"/>
        <v>6416.5309626617009</v>
      </c>
      <c r="H85" s="299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47635</v>
      </c>
      <c r="D86" s="208">
        <f t="shared" si="1"/>
        <v>5490.51545352422</v>
      </c>
      <c r="E86" s="196">
        <v>0</v>
      </c>
      <c r="F86" s="196">
        <f t="shared" si="2"/>
        <v>926.0155091374819</v>
      </c>
      <c r="G86" s="285">
        <f t="shared" si="3"/>
        <v>6416.5309626617018</v>
      </c>
      <c r="H86" s="299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47665</v>
      </c>
      <c r="D87" s="208">
        <f t="shared" si="1"/>
        <v>5783.2971900833991</v>
      </c>
      <c r="E87" s="196">
        <v>0</v>
      </c>
      <c r="F87" s="196">
        <f t="shared" si="2"/>
        <v>633.23377257830282</v>
      </c>
      <c r="G87" s="285">
        <f t="shared" si="3"/>
        <v>6416.5309626617018</v>
      </c>
      <c r="H87" s="299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47696</v>
      </c>
      <c r="D88" s="209">
        <f t="shared" si="1"/>
        <v>6091.6915127445964</v>
      </c>
      <c r="E88" s="210">
        <v>0</v>
      </c>
      <c r="F88" s="210">
        <f t="shared" si="2"/>
        <v>324.83944991710564</v>
      </c>
      <c r="G88" s="300">
        <f t="shared" si="3"/>
        <v>6416.5309626617018</v>
      </c>
      <c r="H88" s="301"/>
      <c r="I88" s="134"/>
      <c r="J88" s="134"/>
    </row>
    <row r="89" spans="1:10" ht="16.5" thickBot="1" x14ac:dyDescent="0.25">
      <c r="A89" s="60"/>
      <c r="B89" s="247" t="s">
        <v>3</v>
      </c>
      <c r="C89" s="282"/>
      <c r="D89" s="206">
        <f>SUM(D29:D88)</f>
        <v>115000</v>
      </c>
      <c r="E89" s="206">
        <f>SUM(E29:E88)</f>
        <v>0</v>
      </c>
      <c r="F89" s="206">
        <f>SUM(F29:F88)</f>
        <v>269991.85775970208</v>
      </c>
      <c r="G89" s="297">
        <f>SUM(G29:H88)</f>
        <v>384991.85775970237</v>
      </c>
      <c r="H89" s="298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51" t="s">
        <v>5</v>
      </c>
      <c r="F91" s="251"/>
      <c r="G91" s="251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RyMtt/wEDDwZYPCiZaYj4BxfDItGwtZIqjvyGo/IzapsUo2j8wFmMrl7fogBjy3iDkTT4GflDvS2Wb1DC9uTkQ==" saltValue="q6jv75qWccI6D+KRJ9JAcw==" spinCount="100000" sheet="1" objects="1" scenarios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800-000000000000}">
      <formula1>$K$13:$K$16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/>
  <dimension ref="A1:N11"/>
  <sheetViews>
    <sheetView zoomScale="85" zoomScaleNormal="85" workbookViewId="0">
      <selection activeCell="F39" sqref="F39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4" width="9.140625" style="141"/>
    <col min="5" max="5" width="17.28515625" style="141" customWidth="1"/>
    <col min="6" max="6" width="16.85546875" style="141" customWidth="1"/>
    <col min="7" max="7" width="15.7109375" style="141" customWidth="1"/>
    <col min="8" max="10" width="9.140625" style="141" customWidth="1"/>
    <col min="11" max="13" width="17.42578125" style="141" customWidth="1"/>
    <col min="14" max="16384" width="9.140625" style="141"/>
  </cols>
  <sheetData>
    <row r="1" spans="1:14" x14ac:dyDescent="0.2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">
      <c r="A4" s="226" t="s">
        <v>95</v>
      </c>
      <c r="B4" s="226">
        <v>300000</v>
      </c>
      <c r="C4" s="226">
        <v>60</v>
      </c>
      <c r="D4" s="227">
        <v>0.79990000000000006</v>
      </c>
      <c r="E4" s="227">
        <v>0</v>
      </c>
      <c r="F4" s="227">
        <v>0</v>
      </c>
      <c r="G4" s="226" t="str">
        <f t="shared" ref="G4:G11" si="0">I$2&amp;" "&amp;B4&amp;" "&amp;H$2</f>
        <v>max. 300000 грн.</v>
      </c>
      <c r="H4" s="226">
        <f t="shared" ref="H4:H11" si="1">B4+B4*E4</f>
        <v>300000</v>
      </c>
      <c r="I4" s="226"/>
      <c r="J4" s="226">
        <v>4</v>
      </c>
      <c r="K4" s="228">
        <f t="shared" ref="K4:K11" si="2">D4/12/(1-1/POWER(1+D4/12,C4))*H4+H4*F4</f>
        <v>20422.700062269021</v>
      </c>
      <c r="L4" s="229">
        <v>0</v>
      </c>
      <c r="M4" s="230">
        <v>0</v>
      </c>
      <c r="N4" s="226">
        <v>5000</v>
      </c>
    </row>
    <row r="5" spans="1:14" x14ac:dyDescent="0.2">
      <c r="A5" s="226" t="s">
        <v>96</v>
      </c>
      <c r="B5" s="226">
        <v>500000</v>
      </c>
      <c r="C5" s="226">
        <v>36</v>
      </c>
      <c r="D5" s="227">
        <v>0.79990000000000006</v>
      </c>
      <c r="E5" s="227">
        <v>0</v>
      </c>
      <c r="F5" s="227">
        <v>0</v>
      </c>
      <c r="G5" s="226" t="str">
        <f t="shared" si="0"/>
        <v>max. 500000 грн.</v>
      </c>
      <c r="H5" s="226">
        <f t="shared" si="1"/>
        <v>500000</v>
      </c>
      <c r="I5" s="226"/>
      <c r="J5" s="226">
        <v>4</v>
      </c>
      <c r="K5" s="228">
        <f t="shared" si="2"/>
        <v>36949.020423363669</v>
      </c>
      <c r="L5" s="229">
        <v>0</v>
      </c>
      <c r="M5" s="230">
        <v>0</v>
      </c>
      <c r="N5" s="226">
        <v>5000</v>
      </c>
    </row>
    <row r="6" spans="1:14" x14ac:dyDescent="0.2">
      <c r="A6" s="226" t="s">
        <v>97</v>
      </c>
      <c r="B6" s="226">
        <v>500000</v>
      </c>
      <c r="C6" s="226">
        <v>24</v>
      </c>
      <c r="D6" s="227">
        <v>0.79990000000000006</v>
      </c>
      <c r="E6" s="227">
        <v>0</v>
      </c>
      <c r="F6" s="227">
        <v>0</v>
      </c>
      <c r="G6" s="226" t="str">
        <f t="shared" si="0"/>
        <v>max. 500000 грн.</v>
      </c>
      <c r="H6" s="226">
        <f t="shared" si="1"/>
        <v>500000</v>
      </c>
      <c r="I6" s="226"/>
      <c r="J6" s="226">
        <v>4</v>
      </c>
      <c r="K6" s="228">
        <f t="shared" si="2"/>
        <v>42323.622570166532</v>
      </c>
      <c r="L6" s="229">
        <v>0</v>
      </c>
      <c r="M6" s="230">
        <v>0</v>
      </c>
      <c r="N6" s="226">
        <v>5000</v>
      </c>
    </row>
    <row r="7" spans="1:14" x14ac:dyDescent="0.2">
      <c r="A7" s="226" t="s">
        <v>98</v>
      </c>
      <c r="B7" s="226">
        <v>500000</v>
      </c>
      <c r="C7" s="226">
        <v>12</v>
      </c>
      <c r="D7" s="227">
        <v>0.79990000000000006</v>
      </c>
      <c r="E7" s="227">
        <v>0</v>
      </c>
      <c r="F7" s="227">
        <v>0</v>
      </c>
      <c r="G7" s="226" t="str">
        <f t="shared" si="0"/>
        <v>max. 500000 грн.</v>
      </c>
      <c r="H7" s="226">
        <f t="shared" si="1"/>
        <v>500000</v>
      </c>
      <c r="I7" s="226"/>
      <c r="J7" s="226">
        <v>6</v>
      </c>
      <c r="K7" s="228">
        <f t="shared" si="2"/>
        <v>61834.592737837185</v>
      </c>
      <c r="L7" s="229">
        <v>0</v>
      </c>
      <c r="M7" s="230">
        <v>0</v>
      </c>
      <c r="N7" s="226">
        <v>5000</v>
      </c>
    </row>
    <row r="8" spans="1:14" x14ac:dyDescent="0.2">
      <c r="A8" s="226" t="s">
        <v>99</v>
      </c>
      <c r="B8" s="226">
        <v>260869.57</v>
      </c>
      <c r="C8" s="226">
        <v>60</v>
      </c>
      <c r="D8" s="227">
        <v>0.63990000000000002</v>
      </c>
      <c r="E8" s="227">
        <v>0.15</v>
      </c>
      <c r="F8" s="227">
        <v>0</v>
      </c>
      <c r="G8" s="226" t="str">
        <f t="shared" si="0"/>
        <v>max. 260869,57 грн.</v>
      </c>
      <c r="H8" s="226">
        <f t="shared" si="1"/>
        <v>300000.00550000003</v>
      </c>
      <c r="I8" s="226"/>
      <c r="J8" s="226">
        <v>4</v>
      </c>
      <c r="K8" s="228">
        <f t="shared" si="2"/>
        <v>16738.776731212442</v>
      </c>
      <c r="L8" s="229">
        <v>0</v>
      </c>
      <c r="M8" s="230">
        <v>0</v>
      </c>
      <c r="N8" s="226">
        <v>5000</v>
      </c>
    </row>
    <row r="9" spans="1:14" x14ac:dyDescent="0.2">
      <c r="A9" s="226" t="s">
        <v>100</v>
      </c>
      <c r="B9" s="226">
        <v>434782.61</v>
      </c>
      <c r="C9" s="226">
        <v>36</v>
      </c>
      <c r="D9" s="227">
        <v>0.63990000000000002</v>
      </c>
      <c r="E9" s="227">
        <v>0.15</v>
      </c>
      <c r="F9" s="227">
        <v>0</v>
      </c>
      <c r="G9" s="226" t="str">
        <f t="shared" si="0"/>
        <v>max. 434782,61 грн.</v>
      </c>
      <c r="H9" s="226">
        <f t="shared" si="1"/>
        <v>500000.00150000001</v>
      </c>
      <c r="I9" s="226"/>
      <c r="J9" s="226">
        <v>4</v>
      </c>
      <c r="K9" s="228">
        <f t="shared" si="2"/>
        <v>31519.038758075134</v>
      </c>
      <c r="L9" s="229">
        <v>0</v>
      </c>
      <c r="M9" s="230">
        <v>0</v>
      </c>
      <c r="N9" s="226">
        <v>5000</v>
      </c>
    </row>
    <row r="10" spans="1:14" x14ac:dyDescent="0.2">
      <c r="A10" s="226" t="s">
        <v>101</v>
      </c>
      <c r="B10" s="226">
        <v>434782.61</v>
      </c>
      <c r="C10" s="226">
        <v>24</v>
      </c>
      <c r="D10" s="227">
        <v>0.61990000000000001</v>
      </c>
      <c r="E10" s="227">
        <v>0.15</v>
      </c>
      <c r="F10" s="227">
        <v>0</v>
      </c>
      <c r="G10" s="226" t="str">
        <f t="shared" si="0"/>
        <v>max. 434782,61 грн.</v>
      </c>
      <c r="H10" s="226">
        <f t="shared" si="1"/>
        <v>500000.00150000001</v>
      </c>
      <c r="I10" s="226"/>
      <c r="J10" s="226">
        <v>4</v>
      </c>
      <c r="K10" s="228">
        <f t="shared" si="2"/>
        <v>36822.206137961504</v>
      </c>
      <c r="L10" s="229">
        <v>0</v>
      </c>
      <c r="M10" s="230">
        <v>0</v>
      </c>
      <c r="N10" s="226">
        <v>5000</v>
      </c>
    </row>
    <row r="11" spans="1:14" x14ac:dyDescent="0.2">
      <c r="A11" s="226" t="s">
        <v>102</v>
      </c>
      <c r="B11" s="226">
        <v>434782.61</v>
      </c>
      <c r="C11" s="226">
        <v>12</v>
      </c>
      <c r="D11" s="227">
        <v>0.51990000000000003</v>
      </c>
      <c r="E11" s="227">
        <v>0.15</v>
      </c>
      <c r="F11" s="227">
        <v>0</v>
      </c>
      <c r="G11" s="226" t="str">
        <f t="shared" si="0"/>
        <v>max. 434782,61 грн.</v>
      </c>
      <c r="H11" s="226">
        <f t="shared" si="1"/>
        <v>500000.00150000001</v>
      </c>
      <c r="I11" s="226"/>
      <c r="J11" s="226">
        <v>6</v>
      </c>
      <c r="K11" s="228">
        <f t="shared" si="2"/>
        <v>54308.964400644654</v>
      </c>
      <c r="L11" s="229">
        <v>0</v>
      </c>
      <c r="M11" s="230">
        <v>0</v>
      </c>
      <c r="N11" s="226">
        <v>5000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07" t="s">
        <v>21</v>
      </c>
      <c r="B1" s="308"/>
      <c r="C1" s="308"/>
      <c r="D1" s="309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02" t="s">
        <v>91</v>
      </c>
      <c r="B3" s="303"/>
      <c r="C3" s="303"/>
      <c r="D3" s="304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02" t="s">
        <v>92</v>
      </c>
      <c r="B5" s="303"/>
      <c r="C5" s="303"/>
      <c r="D5" s="304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02" t="s">
        <v>71</v>
      </c>
      <c r="B7" s="303"/>
      <c r="C7" s="303"/>
      <c r="D7" s="304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02" t="s">
        <v>72</v>
      </c>
      <c r="B9" s="303"/>
      <c r="C9" s="303"/>
      <c r="D9" s="304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02" t="s">
        <v>85</v>
      </c>
      <c r="B11" s="303"/>
      <c r="C11" s="303"/>
      <c r="D11" s="304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02" t="s">
        <v>84</v>
      </c>
      <c r="B14" s="303"/>
      <c r="C14" s="303"/>
      <c r="D14" s="304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02" t="s">
        <v>78</v>
      </c>
      <c r="B16" s="303"/>
      <c r="C16" s="303"/>
      <c r="D16" s="304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02" t="s">
        <v>83</v>
      </c>
      <c r="B18" s="303"/>
      <c r="C18" s="303"/>
      <c r="D18" s="304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05" t="s">
        <v>7</v>
      </c>
      <c r="B22" s="306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56" t="s">
        <v>24</v>
      </c>
      <c r="B23" s="25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56" t="s">
        <v>8</v>
      </c>
      <c r="B24" s="25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56" t="s">
        <v>22</v>
      </c>
      <c r="B25" s="25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56" t="s">
        <v>23</v>
      </c>
      <c r="B26" s="25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15" t="s">
        <v>77</v>
      </c>
      <c r="B29" s="316"/>
      <c r="C29" s="316"/>
      <c r="D29" s="316"/>
      <c r="E29" s="316"/>
      <c r="F29" s="316"/>
      <c r="G29" s="220"/>
    </row>
    <row r="30" spans="1:8" ht="45.75" thickBot="1" x14ac:dyDescent="0.25">
      <c r="A30" s="311" t="s">
        <v>4</v>
      </c>
      <c r="B30" s="312"/>
      <c r="C30" s="104" t="s">
        <v>75</v>
      </c>
      <c r="D30" s="104" t="s">
        <v>73</v>
      </c>
      <c r="E30" s="104" t="s">
        <v>74</v>
      </c>
      <c r="F30" s="313" t="s">
        <v>76</v>
      </c>
      <c r="G30" s="314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10"/>
      <c r="E32" s="310"/>
      <c r="F32" s="310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23:B23"/>
    <mergeCell ref="A24:B24"/>
    <mergeCell ref="D32:F32"/>
    <mergeCell ref="A26:B26"/>
    <mergeCell ref="A30:B30"/>
    <mergeCell ref="F30:G30"/>
    <mergeCell ref="A25:B25"/>
    <mergeCell ref="A29:F29"/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"/>
  <sheetViews>
    <sheetView zoomScale="85" zoomScaleNormal="85" workbookViewId="0">
      <selection activeCell="G12" sqref="G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9</vt:i4>
      </vt:variant>
    </vt:vector>
  </HeadingPairs>
  <TitlesOfParts>
    <vt:vector size="21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Позитив_Нестандарт</vt:lpstr>
      <vt:lpstr>Від 200 000 до 500 000</vt:lpstr>
      <vt:lpstr>Позитив_Нестандарт СК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Пенсійний!Область_друку</vt:lpstr>
      <vt:lpstr>Позитив_Нестандарт!Область_друку</vt:lpstr>
      <vt:lpstr>'Позитив_Нестандарт СК'!Область_друку</vt:lpstr>
      <vt:lpstr>Простий!Область_друку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2025-07-31T08:01:22Z</dcterms:modified>
</cp:coreProperties>
</file>