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Цільовий\"/>
    </mc:Choice>
  </mc:AlternateContent>
  <xr:revisionPtr revIDLastSave="0" documentId="13_ncr:1_{FCDFF63C-20C7-445D-864C-6A90F242E7DF}" xr6:coauthVersionLast="47" xr6:coauthVersionMax="47" xr10:uidLastSave="{00000000-0000-0000-0000-000000000000}"/>
  <workbookProtection workbookAlgorithmName="SHA-512" workbookHashValue="W89dYS5MzivCGjn0e0eprIN6E7dsyMml6CKPJ2ASoHkxE2REl2Dp+3Bbwc5vXdx0LvwQibF6eYp+llZfH+9UAg==" workbookSaltValue="8n722dO9v8TcdwjZQObJ0g==" workbookSpinCount="100000" lockStructure="1"/>
  <bookViews>
    <workbookView xWindow="-120" yWindow="-120" windowWidth="29040" windowHeight="15990" tabRatio="863" firstSheet="5" activeTab="6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Цільовий СК" sheetId="188" r:id="rId6"/>
    <sheet name="Цільовий СК_-10%" sheetId="187" r:id="rId7"/>
    <sheet name="Від 200 000 до 500 000" sheetId="189" state="hidden" r:id="rId8"/>
    <sheet name="Лист2" sheetId="165" state="hidden" r:id="rId9"/>
    <sheet name="Назви" sheetId="161" state="hidden" r:id="rId10"/>
    <sheet name="Лист3" sheetId="191" state="hidden" r:id="rId11"/>
  </sheets>
  <definedNames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5" hidden="1">'Цільовий СК'!$A$27:$H$89</definedName>
    <definedName name="_xlnm._FilterDatabase" localSheetId="6" hidden="1">'Цільовий СК_-10%'!$A$29:$G$91</definedName>
    <definedName name="_xlnm.Print_Area" localSheetId="2">'BIG CASH'!$A$1:$I$95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3">Пенсійний!$A$1:$I$95</definedName>
    <definedName name="_xlnm.Print_Area" localSheetId="1">Простий!$A$1:$I$95</definedName>
    <definedName name="_xlnm.Print_Area" localSheetId="5">'Цільовий СК'!$A$1:$J$92</definedName>
    <definedName name="_xlnm.Print_Area" localSheetId="6">'Цільовий СК_-10%'!$A$1:$J$94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88" l="1"/>
  <c r="K18" i="188"/>
  <c r="K19" i="188"/>
  <c r="K20" i="188"/>
  <c r="K21" i="188"/>
  <c r="K19" i="187"/>
  <c r="K20" i="187"/>
  <c r="K21" i="187"/>
  <c r="K22" i="187"/>
  <c r="K23" i="187"/>
  <c r="C28" i="188"/>
  <c r="C30" i="187"/>
  <c r="H3" i="187"/>
  <c r="K18" i="187" l="1"/>
  <c r="K16" i="188"/>
  <c r="E4" i="165" l="1"/>
  <c r="F15" i="188" l="1"/>
  <c r="F11" i="188"/>
  <c r="F13" i="188"/>
  <c r="F9" i="188"/>
  <c r="F2" i="188"/>
  <c r="E2" i="188"/>
  <c r="H3" i="188"/>
  <c r="F15" i="187"/>
  <c r="F13" i="187"/>
  <c r="E6" i="165"/>
  <c r="E7" i="165"/>
  <c r="F11" i="187" s="1"/>
  <c r="E5" i="165"/>
  <c r="B11" i="187"/>
  <c r="E11" i="187"/>
  <c r="D11" i="187"/>
  <c r="C11" i="187"/>
  <c r="F11" i="189" l="1"/>
  <c r="F15" i="189"/>
  <c r="K44" i="189" l="1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K44" i="188"/>
  <c r="K43" i="188"/>
  <c r="K42" i="188"/>
  <c r="K41" i="188"/>
  <c r="K40" i="188"/>
  <c r="K39" i="188"/>
  <c r="K38" i="188"/>
  <c r="K37" i="188"/>
  <c r="K36" i="188"/>
  <c r="K35" i="188"/>
  <c r="K34" i="188"/>
  <c r="K33" i="188"/>
  <c r="K32" i="188"/>
  <c r="K31" i="188"/>
  <c r="K30" i="188"/>
  <c r="K29" i="188"/>
  <c r="K28" i="188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K27" i="188"/>
  <c r="G27" i="188"/>
  <c r="F27" i="188"/>
  <c r="E27" i="188"/>
  <c r="D27" i="188"/>
  <c r="C27" i="188"/>
  <c r="K26" i="188"/>
  <c r="B26" i="188"/>
  <c r="K24" i="188"/>
  <c r="B24" i="188"/>
  <c r="K23" i="188"/>
  <c r="K22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K15" i="188"/>
  <c r="E16" i="188"/>
  <c r="E15" i="188"/>
  <c r="D15" i="188"/>
  <c r="C15" i="188"/>
  <c r="B15" i="188"/>
  <c r="K14" i="188"/>
  <c r="K13" i="188"/>
  <c r="E13" i="188"/>
  <c r="D13" i="188"/>
  <c r="C13" i="188"/>
  <c r="B13" i="188"/>
  <c r="K12" i="188"/>
  <c r="K11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J29" i="187"/>
  <c r="F29" i="187"/>
  <c r="E29" i="187"/>
  <c r="D29" i="187"/>
  <c r="C29" i="187"/>
  <c r="B28" i="187"/>
  <c r="B26" i="187"/>
  <c r="E24" i="187"/>
  <c r="D24" i="187"/>
  <c r="C24" i="187"/>
  <c r="B24" i="187"/>
  <c r="E22" i="187"/>
  <c r="D22" i="187"/>
  <c r="C22" i="187"/>
  <c r="B22" i="187"/>
  <c r="E20" i="187"/>
  <c r="D20" i="187"/>
  <c r="C20" i="187"/>
  <c r="B20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F20" i="187" l="1"/>
  <c r="D31" i="187"/>
  <c r="F7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F8" i="187" l="1"/>
  <c r="E82" i="187" s="1"/>
  <c r="E89" i="188"/>
  <c r="D83" i="187" l="1"/>
  <c r="D47" i="187"/>
  <c r="E74" i="187"/>
  <c r="D54" i="187"/>
  <c r="E36" i="187"/>
  <c r="E33" i="187"/>
  <c r="D33" i="187"/>
  <c r="E38" i="187"/>
  <c r="E87" i="187"/>
  <c r="D51" i="187"/>
  <c r="D80" i="187"/>
  <c r="D55" i="187"/>
  <c r="E42" i="187"/>
  <c r="E46" i="187"/>
  <c r="E40" i="187"/>
  <c r="D78" i="187"/>
  <c r="E49" i="187"/>
  <c r="E59" i="187"/>
  <c r="D48" i="187"/>
  <c r="D32" i="187"/>
  <c r="E78" i="187"/>
  <c r="D84" i="187"/>
  <c r="D49" i="187"/>
  <c r="E75" i="187"/>
  <c r="D42" i="187"/>
  <c r="E79" i="187"/>
  <c r="D64" i="187"/>
  <c r="E43" i="187"/>
  <c r="D62" i="187"/>
  <c r="E85" i="187"/>
  <c r="D56" i="187"/>
  <c r="E89" i="187"/>
  <c r="E53" i="187"/>
  <c r="D69" i="187"/>
  <c r="E52" i="187"/>
  <c r="D40" i="187"/>
  <c r="D75" i="187"/>
  <c r="D39" i="187"/>
  <c r="E35" i="187"/>
  <c r="E84" i="187"/>
  <c r="D70" i="187"/>
  <c r="D34" i="187"/>
  <c r="E57" i="187"/>
  <c r="D45" i="187"/>
  <c r="D66" i="187"/>
  <c r="D85" i="187"/>
  <c r="E72" i="187"/>
  <c r="D52" i="187"/>
  <c r="E47" i="187"/>
  <c r="D63" i="187"/>
  <c r="E70" i="187"/>
  <c r="E34" i="187"/>
  <c r="D72" i="187"/>
  <c r="E86" i="187"/>
  <c r="E65" i="187"/>
  <c r="E50" i="187"/>
  <c r="D77" i="187"/>
  <c r="D57" i="187"/>
  <c r="E80" i="187"/>
  <c r="E48" i="187"/>
  <c r="E54" i="187"/>
  <c r="D87" i="187"/>
  <c r="E61" i="187"/>
  <c r="E56" i="187"/>
  <c r="D68" i="187"/>
  <c r="E32" i="187"/>
  <c r="E63" i="187"/>
  <c r="D86" i="187"/>
  <c r="D71" i="187"/>
  <c r="D50" i="187"/>
  <c r="D35" i="187"/>
  <c r="E73" i="187"/>
  <c r="E58" i="187"/>
  <c r="E37" i="187"/>
  <c r="D41" i="187"/>
  <c r="E64" i="187"/>
  <c r="D88" i="187"/>
  <c r="E67" i="187"/>
  <c r="D74" i="187"/>
  <c r="D73" i="187"/>
  <c r="D37" i="187"/>
  <c r="E60" i="187"/>
  <c r="D76" i="187"/>
  <c r="D44" i="187"/>
  <c r="E71" i="187"/>
  <c r="D90" i="187"/>
  <c r="D38" i="187"/>
  <c r="D65" i="187"/>
  <c r="E88" i="187"/>
  <c r="E39" i="187"/>
  <c r="D79" i="187"/>
  <c r="D58" i="187"/>
  <c r="D43" i="187"/>
  <c r="E81" i="187"/>
  <c r="E66" i="187"/>
  <c r="E45" i="187"/>
  <c r="D89" i="187"/>
  <c r="D53" i="187"/>
  <c r="E76" i="187"/>
  <c r="D60" i="187"/>
  <c r="E83" i="187"/>
  <c r="E55" i="187"/>
  <c r="D61" i="187"/>
  <c r="E44" i="187"/>
  <c r="E68" i="187"/>
  <c r="D82" i="187"/>
  <c r="D67" i="187"/>
  <c r="D46" i="187"/>
  <c r="E90" i="187"/>
  <c r="E69" i="187"/>
  <c r="D59" i="187"/>
  <c r="E77" i="187"/>
  <c r="E62" i="187"/>
  <c r="E41" i="187"/>
  <c r="D81" i="187"/>
  <c r="D36" i="187"/>
  <c r="E51" i="187"/>
  <c r="D88" i="189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F86" i="187"/>
  <c r="F82" i="187"/>
  <c r="F78" i="187"/>
  <c r="F74" i="187"/>
  <c r="F70" i="187"/>
  <c r="F89" i="187"/>
  <c r="F85" i="187"/>
  <c r="F81" i="187"/>
  <c r="F77" i="187"/>
  <c r="F73" i="187"/>
  <c r="F69" i="187"/>
  <c r="F33" i="187"/>
  <c r="F88" i="187"/>
  <c r="F84" i="187"/>
  <c r="F80" i="187"/>
  <c r="F76" i="187"/>
  <c r="F72" i="187"/>
  <c r="F68" i="187"/>
  <c r="F87" i="187"/>
  <c r="F83" i="187"/>
  <c r="F79" i="187"/>
  <c r="F75" i="187"/>
  <c r="F71" i="187"/>
  <c r="F67" i="187"/>
  <c r="F90" i="187"/>
  <c r="F31" i="187" l="1"/>
  <c r="F32" i="187"/>
  <c r="F55" i="187" l="1"/>
  <c r="F59" i="187"/>
  <c r="F46" i="187"/>
  <c r="F52" i="187"/>
  <c r="F41" i="187"/>
  <c r="F37" i="187"/>
  <c r="F62" i="187"/>
  <c r="F47" i="187"/>
  <c r="F49" i="187"/>
  <c r="F61" i="187"/>
  <c r="F53" i="187"/>
  <c r="F58" i="187" l="1"/>
  <c r="F35" i="187"/>
  <c r="F43" i="187"/>
  <c r="F38" i="187"/>
  <c r="F45" i="187"/>
  <c r="F66" i="187"/>
  <c r="F63" i="187"/>
  <c r="F64" i="187"/>
  <c r="F44" i="187"/>
  <c r="F60" i="187"/>
  <c r="E91" i="187"/>
  <c r="F56" i="187"/>
  <c r="F54" i="187"/>
  <c r="F40" i="187"/>
  <c r="F48" i="187"/>
  <c r="F36" i="187"/>
  <c r="F39" i="187"/>
  <c r="F42" i="187"/>
  <c r="F34" i="187"/>
  <c r="D91" i="187"/>
  <c r="F50" i="187"/>
  <c r="F51" i="187"/>
  <c r="F65" i="187"/>
  <c r="F57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<sst xmlns="http://schemas.openxmlformats.org/spreadsheetml/2006/main" count="197" uniqueCount="100">
  <si>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</si>
  <si>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</si>
  <si>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</si>
  <si>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</si>
  <si>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</si>
  <si>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</si>
  <si>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</si>
  <si>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</si>
  <si>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</si>
  <si>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</si>
  <si>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</si>
  <si>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</si>
  <si>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</si>
  <si>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</si>
  <si>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</si>
  <si>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</si>
  <si>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</si>
  <si>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</si>
  <si>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</si>
  <si>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</si>
  <si>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</si>
  <si>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</si>
  <si>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</si>
  <si>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</si>
  <si>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</si>
  <si>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</si>
  <si>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</si>
  <si>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</si>
  <si>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</si>
  <si>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</si>
  <si>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</si>
  <si>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</si>
  <si>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</si>
  <si>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</si>
  <si>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</si>
  <si>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</si>
  <si>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</si>
  <si>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</si>
  <si>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</si>
  <si>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</si>
  <si>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</si>
  <si>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</si>
  <si>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</si>
  <si>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</si>
  <si>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</si>
  <si>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</si>
  <si>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</si>
  <si>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</si>
  <si>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</si>
  <si>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</si>
  <si>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</si>
  <si>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</si>
  <si>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</si>
  <si>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</si>
  <si>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</si>
  <si>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</si>
  <si>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</si>
  <si>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</si>
  <si>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</si>
  <si>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</si>
  <si>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</si>
  <si>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</si>
  <si>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</si>
  <si>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</si>
  <si>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</si>
  <si>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</si>
  <si>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</si>
  <si>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</si>
  <si>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</si>
  <si>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</si>
  <si>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</si>
  <si>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</si>
  <si>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</si>
  <si>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</si>
  <si>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</si>
  <si>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</si>
  <si>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</si>
  <si>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</si>
  <si>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</si>
  <si>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</si>
  <si>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</si>
  <si>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</si>
  <si>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</si>
  <si>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</si>
  <si>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</si>
  <si>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</si>
  <si>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</si>
  <si>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</si>
  <si>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</si>
  <si>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</si>
  <si>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 xml:space="preserve">Цільовий, 60 міс. </t>
  </si>
  <si>
    <t xml:space="preserve">Цільовий, 48 міс. </t>
  </si>
  <si>
    <t xml:space="preserve">Цільовий, 36 міс. </t>
  </si>
  <si>
    <t xml:space="preserve">Цільовий, 24 міс. </t>
  </si>
  <si>
    <t xml:space="preserve">Цільовий, 18 міс. </t>
  </si>
  <si>
    <t xml:space="preserve">Цільовий, 12 міс. </t>
  </si>
  <si>
    <t>max. 300000 грн.</t>
  </si>
  <si>
    <t>max. 500000 грн.</t>
  </si>
  <si>
    <t>max. 272727,27 грн.</t>
  </si>
  <si>
    <t>max. 454545,46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</si>
</sst>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" xfId="23" applyNumberFormat="1" applyFont="1" applyBorder="1" applyAlignment="1">
      <alignment horizontal="center"/>
    </xf>
    <xf numFmtId="4" fontId="17" fillId="0" borderId="19" xfId="23" applyNumberFormat="1" applyFont="1" applyBorder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10" fontId="17" fillId="0" borderId="0" xfId="23" applyNumberFormat="1" applyFont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7" xfId="23" applyNumberFormat="1" applyFont="1" applyBorder="1" applyAlignment="1">
      <alignment horizont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3</xdr:col>
      <xdr:colOff>419100</xdr:colOff>
      <xdr:row>4</xdr:row>
      <xdr:rowOff>1211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0"/>
          <a:ext cx="1838324" cy="696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0</xdr:rowOff>
    </xdr:from>
    <xdr:to>
      <xdr:col>3</xdr:col>
      <xdr:colOff>627529</xdr:colOff>
      <xdr:row>4</xdr:row>
      <xdr:rowOff>11206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412" y="0"/>
          <a:ext cx="2039470" cy="694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36" t="s">
        <v>49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8"/>
    </row>
    <row r="5" spans="2:17" ht="20.25" customHeight="1" x14ac:dyDescent="0.2">
      <c r="B5" s="239" t="s">
        <v>50</v>
      </c>
      <c r="C5" s="225" t="s">
        <v>42</v>
      </c>
      <c r="D5" s="227" t="s">
        <v>41</v>
      </c>
      <c r="E5" s="228"/>
      <c r="F5" s="228"/>
      <c r="G5" s="228"/>
      <c r="H5" s="228"/>
      <c r="I5" s="228"/>
      <c r="J5" s="228"/>
      <c r="K5" s="229"/>
      <c r="L5" s="229"/>
      <c r="M5" s="229"/>
      <c r="N5" s="229"/>
      <c r="O5" s="229"/>
      <c r="P5" s="230"/>
      <c r="Q5" s="231" t="s">
        <v>45</v>
      </c>
    </row>
    <row r="6" spans="2:17" ht="20.25" customHeight="1" thickBot="1" x14ac:dyDescent="0.25">
      <c r="B6" s="240"/>
      <c r="C6" s="226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2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3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34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34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35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61" t="s">
        <v>68</v>
      </c>
      <c r="I2" s="262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3" t="e">
        <f>IF(E3="x","Збільшіть суму",IF(E3="y","Зменшіть суму",""))</f>
        <v>#N/A</v>
      </c>
      <c r="G3" s="77">
        <f>Назви!B35</f>
        <v>30.4</v>
      </c>
      <c r="H3" s="265" t="e">
        <f>VLOOKUP(H$2,Лист2!$A:$H,7,0)</f>
        <v>#N/A</v>
      </c>
      <c r="I3" s="266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4"/>
      <c r="G4" s="125"/>
      <c r="H4" s="39"/>
      <c r="I4" s="50"/>
      <c r="J4" s="50"/>
      <c r="AA4" s="69"/>
    </row>
    <row r="5" spans="1:45" ht="21" thickBot="1" x14ac:dyDescent="0.25">
      <c r="A5" s="1"/>
      <c r="B5" s="267" t="str">
        <f>Назви!A1</f>
        <v>Cash out, грн.</v>
      </c>
      <c r="C5" s="268"/>
      <c r="D5" s="268"/>
      <c r="E5" s="269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0" t="str">
        <f>Назви!A3</f>
        <v>Процентна ставка базова, % річних</v>
      </c>
      <c r="C7" s="271">
        <f>Назви!B3</f>
        <v>0</v>
      </c>
      <c r="D7" s="271">
        <f>Назви!C3</f>
        <v>0</v>
      </c>
      <c r="E7" s="272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0" t="str">
        <f>Назви!A7</f>
        <v>Разовий страховий тариф, %</v>
      </c>
      <c r="C9" s="271">
        <f>Назви!B7</f>
        <v>0</v>
      </c>
      <c r="D9" s="271">
        <f>Назви!C7</f>
        <v>0</v>
      </c>
      <c r="E9" s="272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0" t="str">
        <f>Назви!A9</f>
        <v xml:space="preserve">Щомісячна плата за обслуговування кредитної заборгованості, % </v>
      </c>
      <c r="C11" s="271">
        <f>Назви!B9</f>
        <v>0</v>
      </c>
      <c r="D11" s="271">
        <f>Назви!C9</f>
        <v>0</v>
      </c>
      <c r="E11" s="272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0" t="str">
        <f>Назви!A11</f>
        <v>Термін кредитування (міс.)</v>
      </c>
      <c r="C13" s="271">
        <f>Назви!B11</f>
        <v>0</v>
      </c>
      <c r="D13" s="271">
        <f>Назви!C11</f>
        <v>0</v>
      </c>
      <c r="E13" s="272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3" t="str">
        <f>Назви!A14</f>
        <v>Орієнтовний платіж, грн.</v>
      </c>
      <c r="C16" s="274">
        <f>Назви!B14</f>
        <v>0</v>
      </c>
      <c r="D16" s="274">
        <f>Назви!C14</f>
        <v>0</v>
      </c>
      <c r="E16" s="275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3" t="str">
        <f>Назви!A16</f>
        <v>Орієнтовні загальні витрати за кредитом, грн.</v>
      </c>
      <c r="C18" s="274">
        <f>Назви!B16</f>
        <v>0</v>
      </c>
      <c r="D18" s="274">
        <f>Назви!C16</f>
        <v>0</v>
      </c>
      <c r="E18" s="275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3" t="str">
        <f>Назви!A18</f>
        <v>Орієнтовна загальна вартість кредиту, грн.</v>
      </c>
      <c r="C20" s="274">
        <f>Назви!B18</f>
        <v>0</v>
      </c>
      <c r="D20" s="274">
        <f>Назви!C18</f>
        <v>0</v>
      </c>
      <c r="E20" s="275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9" t="str">
        <f>Назви!A22</f>
        <v>Інший термін</v>
      </c>
      <c r="C22" s="260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0" t="s">
        <v>36</v>
      </c>
      <c r="C23" s="25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0" t="s">
        <v>37</v>
      </c>
      <c r="C24" s="25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0" t="s">
        <v>8</v>
      </c>
      <c r="C25" s="25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0"/>
      <c r="C26" s="25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2" t="str">
        <f>Назви!A29</f>
        <v>Орієнтовний порядок повернення кредиту</v>
      </c>
      <c r="C29" s="253"/>
      <c r="D29" s="253"/>
      <c r="E29" s="253"/>
      <c r="F29" s="253"/>
      <c r="G29" s="253"/>
      <c r="H29" s="25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55" t="str">
        <f>Назви!A30</f>
        <v>Місяць</v>
      </c>
      <c r="C30" s="25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55" t="str">
        <f>Назви!F30</f>
        <v>Сума платежу за розрахунковий період, грн.</v>
      </c>
      <c r="H30" s="25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57" t="e">
        <f t="shared" ref="G32:G91" si="4">D32+E32+F32</f>
        <v>#N/A</v>
      </c>
      <c r="H32" s="25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G16-E32-F32</f>
        <v>#N/A</v>
      </c>
      <c r="E33" s="32" t="e">
        <f>IF(B33&lt;=$F$13,(E$15*(VLOOKUP($H$2,Лист2!$A:$O,12,0)-(B33-1)*VLOOKUP($H$2,Лист2!$A:$O,13,0))),0)*0</f>
        <v>#N/A</v>
      </c>
      <c r="F33" s="184" t="e">
        <f>ROUND((E$15-SUM(D$32:D32))*F$7*30/365,2)*0.1%</f>
        <v>#N/A</v>
      </c>
      <c r="G33" s="246" t="e">
        <f t="shared" si="4"/>
        <v>#N/A</v>
      </c>
      <c r="H33" s="247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46" t="e">
        <f t="shared" si="4"/>
        <v>#N/A</v>
      </c>
      <c r="H34" s="247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46" t="e">
        <f t="shared" si="4"/>
        <v>#N/A</v>
      </c>
      <c r="H35" s="247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46" t="e">
        <f t="shared" si="4"/>
        <v>#N/A</v>
      </c>
      <c r="H36" s="247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46" t="e">
        <f t="shared" si="4"/>
        <v>#N/A</v>
      </c>
      <c r="H37" s="247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46" t="e">
        <f t="shared" si="4"/>
        <v>#N/A</v>
      </c>
      <c r="H38" s="247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46" t="e">
        <f t="shared" si="4"/>
        <v>#N/A</v>
      </c>
      <c r="H39" s="247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46" t="e">
        <f t="shared" si="4"/>
        <v>#N/A</v>
      </c>
      <c r="H40" s="247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46" t="e">
        <f t="shared" si="4"/>
        <v>#N/A</v>
      </c>
      <c r="H41" s="247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46" t="e">
        <f t="shared" si="4"/>
        <v>#N/A</v>
      </c>
      <c r="H42" s="247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46" t="e">
        <f t="shared" si="4"/>
        <v>#N/A</v>
      </c>
      <c r="H43" s="247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46" t="e">
        <f t="shared" si="4"/>
        <v>#N/A</v>
      </c>
      <c r="H44" s="247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46" t="e">
        <f t="shared" si="4"/>
        <v>#N/A</v>
      </c>
      <c r="H45" s="247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46" t="e">
        <f t="shared" si="4"/>
        <v>#N/A</v>
      </c>
      <c r="H46" s="247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46" t="e">
        <f t="shared" si="4"/>
        <v>#N/A</v>
      </c>
      <c r="H47" s="247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46" t="e">
        <f t="shared" si="4"/>
        <v>#N/A</v>
      </c>
      <c r="H48" s="247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46" t="e">
        <f t="shared" si="4"/>
        <v>#N/A</v>
      </c>
      <c r="H49" s="247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46" t="e">
        <f t="shared" si="4"/>
        <v>#N/A</v>
      </c>
      <c r="H50" s="247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46" t="e">
        <f t="shared" si="4"/>
        <v>#N/A</v>
      </c>
      <c r="H51" s="247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46" t="e">
        <f t="shared" si="4"/>
        <v>#N/A</v>
      </c>
      <c r="H52" s="247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46" t="e">
        <f t="shared" si="4"/>
        <v>#N/A</v>
      </c>
      <c r="H53" s="247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46" t="e">
        <f t="shared" si="4"/>
        <v>#N/A</v>
      </c>
      <c r="H54" s="247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46" t="e">
        <f t="shared" si="4"/>
        <v>#N/A</v>
      </c>
      <c r="H55" s="247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46" t="e">
        <f t="shared" si="4"/>
        <v>#N/A</v>
      </c>
      <c r="H56" s="247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46" t="e">
        <f t="shared" si="4"/>
        <v>#N/A</v>
      </c>
      <c r="H57" s="247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46" t="e">
        <f t="shared" si="4"/>
        <v>#N/A</v>
      </c>
      <c r="H58" s="247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46" t="e">
        <f t="shared" si="4"/>
        <v>#N/A</v>
      </c>
      <c r="H59" s="247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46" t="e">
        <f t="shared" si="4"/>
        <v>#N/A</v>
      </c>
      <c r="H60" s="247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46" t="e">
        <f t="shared" si="4"/>
        <v>#N/A</v>
      </c>
      <c r="H61" s="247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46" t="e">
        <f t="shared" si="4"/>
        <v>#N/A</v>
      </c>
      <c r="H62" s="247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46" t="e">
        <f t="shared" si="4"/>
        <v>#N/A</v>
      </c>
      <c r="H63" s="247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46" t="e">
        <f t="shared" si="4"/>
        <v>#N/A</v>
      </c>
      <c r="H64" s="247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46" t="e">
        <f t="shared" si="4"/>
        <v>#N/A</v>
      </c>
      <c r="H65" s="247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46" t="e">
        <f t="shared" si="4"/>
        <v>#N/A</v>
      </c>
      <c r="H66" s="247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46" t="e">
        <f t="shared" si="4"/>
        <v>#N/A</v>
      </c>
      <c r="H67" s="247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46" t="e">
        <f t="shared" si="4"/>
        <v>#N/A</v>
      </c>
      <c r="H68" s="247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46" t="e">
        <f t="shared" si="4"/>
        <v>#N/A</v>
      </c>
      <c r="H69" s="247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46" t="e">
        <f t="shared" si="4"/>
        <v>#N/A</v>
      </c>
      <c r="H70" s="247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46" t="e">
        <f t="shared" si="4"/>
        <v>#N/A</v>
      </c>
      <c r="H71" s="247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46" t="e">
        <f t="shared" si="4"/>
        <v>#N/A</v>
      </c>
      <c r="H72" s="247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46" t="e">
        <f t="shared" si="4"/>
        <v>#N/A</v>
      </c>
      <c r="H73" s="247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46" t="e">
        <f t="shared" si="4"/>
        <v>#N/A</v>
      </c>
      <c r="H74" s="247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46" t="e">
        <f t="shared" si="4"/>
        <v>#N/A</v>
      </c>
      <c r="H75" s="247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46" t="e">
        <f t="shared" si="4"/>
        <v>#N/A</v>
      </c>
      <c r="H76" s="247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46" t="e">
        <f t="shared" si="4"/>
        <v>#N/A</v>
      </c>
      <c r="H77" s="247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46" t="e">
        <f t="shared" si="4"/>
        <v>#N/A</v>
      </c>
      <c r="H78" s="247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46" t="e">
        <f t="shared" si="4"/>
        <v>#N/A</v>
      </c>
      <c r="H79" s="247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46" t="e">
        <f t="shared" si="4"/>
        <v>#N/A</v>
      </c>
      <c r="H80" s="247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46" t="e">
        <f t="shared" si="4"/>
        <v>#N/A</v>
      </c>
      <c r="H81" s="247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46" t="e">
        <f t="shared" si="4"/>
        <v>#N/A</v>
      </c>
      <c r="H82" s="247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46" t="e">
        <f t="shared" si="4"/>
        <v>#N/A</v>
      </c>
      <c r="H83" s="247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46" t="e">
        <f t="shared" si="4"/>
        <v>#N/A</v>
      </c>
      <c r="H84" s="247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46" t="e">
        <f t="shared" si="4"/>
        <v>#N/A</v>
      </c>
      <c r="H85" s="247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46" t="e">
        <f t="shared" si="4"/>
        <v>#N/A</v>
      </c>
      <c r="H86" s="247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46" t="e">
        <f t="shared" si="4"/>
        <v>#N/A</v>
      </c>
      <c r="H87" s="247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46" t="e">
        <f t="shared" si="4"/>
        <v>#N/A</v>
      </c>
      <c r="H88" s="247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46" t="e">
        <f t="shared" si="4"/>
        <v>#N/A</v>
      </c>
      <c r="H89" s="247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46" t="e">
        <f t="shared" si="4"/>
        <v>#N/A</v>
      </c>
      <c r="H90" s="247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48" t="e">
        <f t="shared" si="4"/>
        <v>#N/A</v>
      </c>
      <c r="H91" s="249"/>
      <c r="I91" s="134"/>
      <c r="J91" s="134"/>
    </row>
    <row r="92" spans="1:19" ht="16.5" thickBot="1" x14ac:dyDescent="0.25">
      <c r="A92" s="60"/>
      <c r="B92" s="241" t="s">
        <v>3</v>
      </c>
      <c r="C92" s="242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3" t="e">
        <f>SUM(G32:H91)</f>
        <v>#N/A</v>
      </c>
      <c r="H92" s="244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45" t="s">
        <v>5</v>
      </c>
      <c r="F94" s="245"/>
      <c r="G94" s="245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61" t="s">
        <v>67</v>
      </c>
      <c r="I2" s="262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3" t="e">
        <f>IF(E3="x","Збільшіть суму",IF(E3="y","Зменшіть суму",""))</f>
        <v>#N/A</v>
      </c>
      <c r="G3" s="77">
        <f>Назви!B35</f>
        <v>30.4</v>
      </c>
      <c r="H3" s="265" t="e">
        <f>VLOOKUP(H$2,Лист2!$A:$H,7,0)</f>
        <v>#N/A</v>
      </c>
      <c r="I3" s="266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4"/>
      <c r="G4" s="125"/>
      <c r="H4" s="39"/>
      <c r="I4" s="50"/>
      <c r="J4" s="50"/>
      <c r="AA4" s="69"/>
    </row>
    <row r="5" spans="1:45" ht="21" thickBot="1" x14ac:dyDescent="0.25">
      <c r="A5" s="1"/>
      <c r="B5" s="267" t="str">
        <f>Назви!A1</f>
        <v>Cash out, грн.</v>
      </c>
      <c r="C5" s="268"/>
      <c r="D5" s="268"/>
      <c r="E5" s="269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0" t="str">
        <f>Назви!A3</f>
        <v>Процентна ставка базова, % річних</v>
      </c>
      <c r="C7" s="271">
        <f>Назви!B3</f>
        <v>0</v>
      </c>
      <c r="D7" s="271">
        <f>Назви!C3</f>
        <v>0</v>
      </c>
      <c r="E7" s="272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0" t="str">
        <f>Назви!A7</f>
        <v>Разовий страховий тариф, %</v>
      </c>
      <c r="C9" s="271">
        <f>Назви!B7</f>
        <v>0</v>
      </c>
      <c r="D9" s="271">
        <f>Назви!C7</f>
        <v>0</v>
      </c>
      <c r="E9" s="272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0" t="str">
        <f>Назви!A9</f>
        <v xml:space="preserve">Щомісячна плата за обслуговування кредитної заборгованості, % </v>
      </c>
      <c r="C11" s="271">
        <f>Назви!B9</f>
        <v>0</v>
      </c>
      <c r="D11" s="271">
        <f>Назви!C9</f>
        <v>0</v>
      </c>
      <c r="E11" s="272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0" t="str">
        <f>Назви!A11</f>
        <v>Термін кредитування (міс.)</v>
      </c>
      <c r="C13" s="271">
        <f>Назви!B11</f>
        <v>0</v>
      </c>
      <c r="D13" s="271">
        <f>Назви!C11</f>
        <v>0</v>
      </c>
      <c r="E13" s="272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3" t="str">
        <f>Назви!A14</f>
        <v>Орієнтовний платіж, грн.</v>
      </c>
      <c r="C16" s="274">
        <f>Назви!B14</f>
        <v>0</v>
      </c>
      <c r="D16" s="274">
        <f>Назви!C14</f>
        <v>0</v>
      </c>
      <c r="E16" s="275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3" t="str">
        <f>Назви!A16</f>
        <v>Орієнтовні загальні витрати за кредитом, грн.</v>
      </c>
      <c r="C18" s="274">
        <f>Назви!B16</f>
        <v>0</v>
      </c>
      <c r="D18" s="274">
        <f>Назви!C16</f>
        <v>0</v>
      </c>
      <c r="E18" s="275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3" t="str">
        <f>Назви!A18</f>
        <v>Орієнтовна загальна вартість кредиту, грн.</v>
      </c>
      <c r="C20" s="274">
        <f>Назви!B18</f>
        <v>0</v>
      </c>
      <c r="D20" s="274">
        <f>Назви!C18</f>
        <v>0</v>
      </c>
      <c r="E20" s="275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9" t="str">
        <f>Назви!A22</f>
        <v>Інший термін</v>
      </c>
      <c r="C22" s="260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0" t="s">
        <v>36</v>
      </c>
      <c r="C23" s="25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0" t="s">
        <v>37</v>
      </c>
      <c r="C24" s="25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0" t="s">
        <v>8</v>
      </c>
      <c r="C25" s="25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0"/>
      <c r="C26" s="25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2" t="str">
        <f>Назви!A29</f>
        <v>Орієнтовний порядок повернення кредиту</v>
      </c>
      <c r="C29" s="253"/>
      <c r="D29" s="253"/>
      <c r="E29" s="253"/>
      <c r="F29" s="253"/>
      <c r="G29" s="253"/>
      <c r="H29" s="25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55" t="str">
        <f>Назви!A30</f>
        <v>Місяць</v>
      </c>
      <c r="C30" s="25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55" t="str">
        <f>Назви!F30</f>
        <v>Сума платежу за розрахунковий період, грн.</v>
      </c>
      <c r="H30" s="25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57" t="e">
        <f t="shared" ref="G32:G43" si="4">D32+E32+F32</f>
        <v>#N/A</v>
      </c>
      <c r="H32" s="25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IF(B33&lt;$F$13,$G$16-E33-F33,IF(B33=$F$13,$E$15-SUM($D$31:D32),0))</f>
        <v>#N/A</v>
      </c>
      <c r="E33" s="32" t="e">
        <f>IF(B33&lt;=$F$13,(E$15*(VLOOKUP($H$2,Лист2!$A:$O,12,0)-(B33-1)*VLOOKUP($H$2,Лист2!$A:$O,13,0))),0)</f>
        <v>#N/A</v>
      </c>
      <c r="F33" s="184" t="e">
        <f>ROUND((E$15-SUM(D$32:D32))*F$7*30/365,2)</f>
        <v>#N/A</v>
      </c>
      <c r="G33" s="246" t="e">
        <f t="shared" si="4"/>
        <v>#N/A</v>
      </c>
      <c r="H33" s="247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46" t="e">
        <f t="shared" si="4"/>
        <v>#N/A</v>
      </c>
      <c r="H34" s="247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46" t="e">
        <f t="shared" si="4"/>
        <v>#N/A</v>
      </c>
      <c r="H35" s="247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46" t="e">
        <f t="shared" si="4"/>
        <v>#N/A</v>
      </c>
      <c r="H36" s="247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46" t="e">
        <f t="shared" si="4"/>
        <v>#N/A</v>
      </c>
      <c r="H37" s="247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46" t="e">
        <f t="shared" si="4"/>
        <v>#N/A</v>
      </c>
      <c r="H38" s="247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46" t="e">
        <f t="shared" si="4"/>
        <v>#N/A</v>
      </c>
      <c r="H39" s="247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46" t="e">
        <f t="shared" si="4"/>
        <v>#N/A</v>
      </c>
      <c r="H40" s="247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46" t="e">
        <f t="shared" si="4"/>
        <v>#N/A</v>
      </c>
      <c r="H41" s="247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46" t="e">
        <f t="shared" si="4"/>
        <v>#N/A</v>
      </c>
      <c r="H42" s="247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46" t="e">
        <f t="shared" si="4"/>
        <v>#N/A</v>
      </c>
      <c r="H43" s="247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46" t="e">
        <f t="shared" ref="G44:G61" si="6">D44+E44+F44</f>
        <v>#N/A</v>
      </c>
      <c r="H44" s="247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46" t="e">
        <f t="shared" si="6"/>
        <v>#N/A</v>
      </c>
      <c r="H45" s="247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46" t="e">
        <f t="shared" si="6"/>
        <v>#N/A</v>
      </c>
      <c r="H46" s="247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46" t="e">
        <f t="shared" si="6"/>
        <v>#N/A</v>
      </c>
      <c r="H47" s="247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46" t="e">
        <f t="shared" si="6"/>
        <v>#N/A</v>
      </c>
      <c r="H48" s="247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46" t="e">
        <f t="shared" si="6"/>
        <v>#N/A</v>
      </c>
      <c r="H49" s="247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46" t="e">
        <f t="shared" si="6"/>
        <v>#N/A</v>
      </c>
      <c r="H50" s="247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46" t="e">
        <f t="shared" si="6"/>
        <v>#N/A</v>
      </c>
      <c r="H51" s="247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46" t="e">
        <f t="shared" si="6"/>
        <v>#N/A</v>
      </c>
      <c r="H52" s="247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46" t="e">
        <f t="shared" si="6"/>
        <v>#N/A</v>
      </c>
      <c r="H53" s="247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46" t="e">
        <f t="shared" si="6"/>
        <v>#N/A</v>
      </c>
      <c r="H54" s="247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46" t="e">
        <f t="shared" si="6"/>
        <v>#N/A</v>
      </c>
      <c r="H55" s="247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46" t="e">
        <f t="shared" si="6"/>
        <v>#N/A</v>
      </c>
      <c r="H56" s="247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46" t="e">
        <f t="shared" si="6"/>
        <v>#N/A</v>
      </c>
      <c r="H57" s="247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46" t="e">
        <f t="shared" si="6"/>
        <v>#N/A</v>
      </c>
      <c r="H58" s="247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46" t="e">
        <f t="shared" si="6"/>
        <v>#N/A</v>
      </c>
      <c r="H59" s="247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46" t="e">
        <f t="shared" si="6"/>
        <v>#N/A</v>
      </c>
      <c r="H60" s="247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46" t="e">
        <f t="shared" si="6"/>
        <v>#N/A</v>
      </c>
      <c r="H61" s="247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46" t="e">
        <f t="shared" ref="G62:G67" si="7">D62+E62+F62</f>
        <v>#N/A</v>
      </c>
      <c r="H62" s="247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46" t="e">
        <f t="shared" si="7"/>
        <v>#N/A</v>
      </c>
      <c r="H63" s="247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46" t="e">
        <f t="shared" si="7"/>
        <v>#N/A</v>
      </c>
      <c r="H64" s="247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46" t="e">
        <f t="shared" si="7"/>
        <v>#N/A</v>
      </c>
      <c r="H65" s="247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46" t="e">
        <f t="shared" si="7"/>
        <v>#N/A</v>
      </c>
      <c r="H66" s="247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46" t="e">
        <f t="shared" si="7"/>
        <v>#N/A</v>
      </c>
      <c r="H67" s="247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46" t="e">
        <f t="shared" ref="G68:G81" si="8">D68+E68+F68</f>
        <v>#N/A</v>
      </c>
      <c r="H68" s="247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46" t="e">
        <f t="shared" si="8"/>
        <v>#N/A</v>
      </c>
      <c r="H69" s="247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46" t="e">
        <f t="shared" si="8"/>
        <v>#N/A</v>
      </c>
      <c r="H70" s="247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46" t="e">
        <f t="shared" si="8"/>
        <v>#N/A</v>
      </c>
      <c r="H71" s="247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46" t="e">
        <f t="shared" si="8"/>
        <v>#N/A</v>
      </c>
      <c r="H72" s="247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46" t="e">
        <f t="shared" si="8"/>
        <v>#N/A</v>
      </c>
      <c r="H73" s="247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46" t="e">
        <f t="shared" si="8"/>
        <v>#N/A</v>
      </c>
      <c r="H74" s="247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46" t="e">
        <f t="shared" si="8"/>
        <v>#N/A</v>
      </c>
      <c r="H75" s="247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46" t="e">
        <f t="shared" si="8"/>
        <v>#N/A</v>
      </c>
      <c r="H76" s="247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46" t="e">
        <f t="shared" si="8"/>
        <v>#N/A</v>
      </c>
      <c r="H77" s="247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46" t="e">
        <f t="shared" si="8"/>
        <v>#N/A</v>
      </c>
      <c r="H78" s="247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46" t="e">
        <f t="shared" si="8"/>
        <v>#N/A</v>
      </c>
      <c r="H79" s="247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46" t="e">
        <f t="shared" si="8"/>
        <v>#N/A</v>
      </c>
      <c r="H80" s="247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46" t="e">
        <f t="shared" si="8"/>
        <v>#N/A</v>
      </c>
      <c r="H81" s="247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46" t="e">
        <f t="shared" ref="G82:G91" si="9">D82+E82+F82</f>
        <v>#N/A</v>
      </c>
      <c r="H82" s="247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46" t="e">
        <f t="shared" si="9"/>
        <v>#N/A</v>
      </c>
      <c r="H83" s="247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46" t="e">
        <f t="shared" si="9"/>
        <v>#N/A</v>
      </c>
      <c r="H84" s="247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46" t="e">
        <f t="shared" si="9"/>
        <v>#N/A</v>
      </c>
      <c r="H85" s="247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46" t="e">
        <f t="shared" si="9"/>
        <v>#N/A</v>
      </c>
      <c r="H86" s="247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46" t="e">
        <f t="shared" si="9"/>
        <v>#N/A</v>
      </c>
      <c r="H87" s="247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46" t="e">
        <f t="shared" si="9"/>
        <v>#N/A</v>
      </c>
      <c r="H88" s="247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46" t="e">
        <f t="shared" si="9"/>
        <v>#N/A</v>
      </c>
      <c r="H89" s="247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46" t="e">
        <f t="shared" si="9"/>
        <v>#N/A</v>
      </c>
      <c r="H90" s="247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48" t="e">
        <f t="shared" si="9"/>
        <v>#N/A</v>
      </c>
      <c r="H91" s="249"/>
      <c r="I91" s="134"/>
      <c r="J91" s="134"/>
    </row>
    <row r="92" spans="1:19" ht="16.5" thickBot="1" x14ac:dyDescent="0.25">
      <c r="A92" s="60"/>
      <c r="B92" s="241" t="s">
        <v>3</v>
      </c>
      <c r="C92" s="242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3" t="e">
        <f>SUM(G32:H91)</f>
        <v>#N/A</v>
      </c>
      <c r="H92" s="244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45" t="s">
        <v>5</v>
      </c>
      <c r="F94" s="245"/>
      <c r="G94" s="245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G62:H62"/>
    <mergeCell ref="G63:H63"/>
    <mergeCell ref="G64:H64"/>
    <mergeCell ref="G65:H65"/>
    <mergeCell ref="G66:H66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49:H49"/>
    <mergeCell ref="G50:H50"/>
    <mergeCell ref="G51:H51"/>
    <mergeCell ref="G55:H55"/>
    <mergeCell ref="G56:H56"/>
    <mergeCell ref="G46:H46"/>
    <mergeCell ref="G47:H47"/>
    <mergeCell ref="G48:H48"/>
    <mergeCell ref="G43:H43"/>
    <mergeCell ref="G44:H44"/>
    <mergeCell ref="G45:H45"/>
    <mergeCell ref="H2:I2"/>
    <mergeCell ref="F3:F4"/>
    <mergeCell ref="H3:I3"/>
    <mergeCell ref="G40:H40"/>
    <mergeCell ref="G41:H41"/>
    <mergeCell ref="G37:H37"/>
    <mergeCell ref="G38:H38"/>
    <mergeCell ref="G39:H39"/>
    <mergeCell ref="B5:E5"/>
    <mergeCell ref="B7:E7"/>
    <mergeCell ref="B11:E11"/>
    <mergeCell ref="B9:E9"/>
    <mergeCell ref="B13:E13"/>
    <mergeCell ref="B16:E16"/>
    <mergeCell ref="B18:E18"/>
    <mergeCell ref="B20:E20"/>
    <mergeCell ref="B22:C22"/>
    <mergeCell ref="B23:C23"/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61" t="s">
        <v>66</v>
      </c>
      <c r="I2" s="262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3" t="e">
        <f>IF(E3="x","Збільшіть суму",IF(E3="y","Зменшіть суму",""))</f>
        <v>#N/A</v>
      </c>
      <c r="G3" s="77">
        <f>Назви!B35</f>
        <v>30.4</v>
      </c>
      <c r="H3" s="265" t="e">
        <f>VLOOKUP(H$2,Лист2!$A:$H,7,0)</f>
        <v>#N/A</v>
      </c>
      <c r="I3" s="266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64"/>
      <c r="G4" s="125"/>
      <c r="H4" s="39"/>
      <c r="I4" s="50"/>
      <c r="J4" s="50"/>
      <c r="AA4" s="69"/>
    </row>
    <row r="5" spans="1:45" ht="21" thickBot="1" x14ac:dyDescent="0.25">
      <c r="A5" s="1"/>
      <c r="B5" s="267" t="str">
        <f>Назви!A1</f>
        <v>Cash out, грн.</v>
      </c>
      <c r="C5" s="268"/>
      <c r="D5" s="268"/>
      <c r="E5" s="269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0" t="str">
        <f>Назви!A3</f>
        <v>Процентна ставка базова, % річних</v>
      </c>
      <c r="C7" s="271">
        <f>Назви!B3</f>
        <v>0</v>
      </c>
      <c r="D7" s="271">
        <f>Назви!C3</f>
        <v>0</v>
      </c>
      <c r="E7" s="272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0" t="str">
        <f>Назви!A7</f>
        <v>Разовий страховий тариф, %</v>
      </c>
      <c r="C9" s="271">
        <f>Назви!B7</f>
        <v>0</v>
      </c>
      <c r="D9" s="271">
        <f>Назви!C7</f>
        <v>0</v>
      </c>
      <c r="E9" s="272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0" t="str">
        <f>Назви!A9</f>
        <v xml:space="preserve">Щомісячна плата за обслуговування кредитної заборгованості, % </v>
      </c>
      <c r="C11" s="271">
        <f>Назви!B9</f>
        <v>0</v>
      </c>
      <c r="D11" s="271">
        <f>Назви!C9</f>
        <v>0</v>
      </c>
      <c r="E11" s="272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0" t="str">
        <f>Назви!A11</f>
        <v>Термін кредитування (міс.)</v>
      </c>
      <c r="C13" s="271">
        <f>Назви!B11</f>
        <v>0</v>
      </c>
      <c r="D13" s="271">
        <f>Назви!C11</f>
        <v>0</v>
      </c>
      <c r="E13" s="272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3" t="str">
        <f>Назви!A14</f>
        <v>Орієнтовний платіж, грн.</v>
      </c>
      <c r="C16" s="274">
        <f>Назви!B14</f>
        <v>0</v>
      </c>
      <c r="D16" s="274">
        <f>Назви!C14</f>
        <v>0</v>
      </c>
      <c r="E16" s="275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3" t="str">
        <f>Назви!A16</f>
        <v>Орієнтовні загальні витрати за кредитом, грн.</v>
      </c>
      <c r="C18" s="274">
        <f>Назви!B16</f>
        <v>0</v>
      </c>
      <c r="D18" s="274">
        <f>Назви!C16</f>
        <v>0</v>
      </c>
      <c r="E18" s="275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3" t="str">
        <f>Назви!A18</f>
        <v>Орієнтовна загальна вартість кредиту, грн.</v>
      </c>
      <c r="C20" s="274">
        <f>Назви!B18</f>
        <v>0</v>
      </c>
      <c r="D20" s="274">
        <f>Назви!C18</f>
        <v>0</v>
      </c>
      <c r="E20" s="275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59" t="str">
        <f>Назви!A22</f>
        <v>Інший термін</v>
      </c>
      <c r="C22" s="260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0" t="s">
        <v>36</v>
      </c>
      <c r="C23" s="25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0" t="s">
        <v>37</v>
      </c>
      <c r="C24" s="25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0" t="s">
        <v>8</v>
      </c>
      <c r="C25" s="25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0"/>
      <c r="C26" s="25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2" t="str">
        <f>Назви!A29</f>
        <v>Орієнтовний порядок повернення кредиту</v>
      </c>
      <c r="C29" s="253"/>
      <c r="D29" s="253"/>
      <c r="E29" s="253"/>
      <c r="F29" s="253"/>
      <c r="G29" s="253"/>
      <c r="H29" s="25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55" t="str">
        <f>Назви!A30</f>
        <v>Місяць</v>
      </c>
      <c r="C30" s="25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55" t="str">
        <f>Назви!F30</f>
        <v>Сума платежу за розрахунковий період, грн.</v>
      </c>
      <c r="H30" s="25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57" t="e">
        <f t="shared" ref="G32:G91" si="4">D32+E32+F32</f>
        <v>#N/A</v>
      </c>
      <c r="H32" s="25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IF(B33&lt;$F$13,$G$16-E33-F33,IF(B33=$F$13,$E$15-SUM($D$31:D32),0))</f>
        <v>#N/A</v>
      </c>
      <c r="E33" s="32" t="e">
        <f>IF(B33&lt;=$F$13,(E$15*(VLOOKUP($H$2,Лист2!$A:$O,12,0)-(B33-1)*VLOOKUP($H$2,Лист2!$A:$O,13,0))),0)</f>
        <v>#N/A</v>
      </c>
      <c r="F33" s="184" t="e">
        <f>ROUND((E$15-SUM(D$32:D32))*F$7*30/365,2)</f>
        <v>#N/A</v>
      </c>
      <c r="G33" s="246" t="e">
        <f t="shared" si="4"/>
        <v>#N/A</v>
      </c>
      <c r="H33" s="247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46" t="e">
        <f t="shared" si="4"/>
        <v>#N/A</v>
      </c>
      <c r="H34" s="247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46" t="e">
        <f t="shared" si="4"/>
        <v>#N/A</v>
      </c>
      <c r="H35" s="247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46" t="e">
        <f t="shared" si="4"/>
        <v>#N/A</v>
      </c>
      <c r="H36" s="247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46" t="e">
        <f t="shared" si="4"/>
        <v>#N/A</v>
      </c>
      <c r="H37" s="247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46" t="e">
        <f t="shared" si="4"/>
        <v>#N/A</v>
      </c>
      <c r="H38" s="247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46" t="e">
        <f t="shared" si="4"/>
        <v>#N/A</v>
      </c>
      <c r="H39" s="247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46" t="e">
        <f t="shared" si="4"/>
        <v>#N/A</v>
      </c>
      <c r="H40" s="247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46" t="e">
        <f t="shared" si="4"/>
        <v>#N/A</v>
      </c>
      <c r="H41" s="247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46" t="e">
        <f t="shared" si="4"/>
        <v>#N/A</v>
      </c>
      <c r="H42" s="247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46" t="e">
        <f t="shared" si="4"/>
        <v>#N/A</v>
      </c>
      <c r="H43" s="247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46" t="e">
        <f t="shared" si="4"/>
        <v>#N/A</v>
      </c>
      <c r="H44" s="247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46" t="e">
        <f t="shared" si="4"/>
        <v>#N/A</v>
      </c>
      <c r="H45" s="247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46" t="e">
        <f t="shared" si="4"/>
        <v>#N/A</v>
      </c>
      <c r="H46" s="247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46" t="e">
        <f t="shared" si="4"/>
        <v>#N/A</v>
      </c>
      <c r="H47" s="247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46" t="e">
        <f t="shared" si="4"/>
        <v>#N/A</v>
      </c>
      <c r="H48" s="247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46" t="e">
        <f t="shared" si="4"/>
        <v>#N/A</v>
      </c>
      <c r="H49" s="247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46" t="e">
        <f t="shared" si="4"/>
        <v>#N/A</v>
      </c>
      <c r="H50" s="247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46" t="e">
        <f t="shared" si="4"/>
        <v>#N/A</v>
      </c>
      <c r="H51" s="247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46" t="e">
        <f t="shared" si="4"/>
        <v>#N/A</v>
      </c>
      <c r="H52" s="247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46" t="e">
        <f t="shared" si="4"/>
        <v>#N/A</v>
      </c>
      <c r="H53" s="247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46" t="e">
        <f t="shared" si="4"/>
        <v>#N/A</v>
      </c>
      <c r="H54" s="247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46" t="e">
        <f t="shared" si="4"/>
        <v>#N/A</v>
      </c>
      <c r="H55" s="247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46" t="e">
        <f t="shared" si="4"/>
        <v>#N/A</v>
      </c>
      <c r="H56" s="247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46" t="e">
        <f t="shared" si="4"/>
        <v>#N/A</v>
      </c>
      <c r="H57" s="247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46" t="e">
        <f t="shared" si="4"/>
        <v>#N/A</v>
      </c>
      <c r="H58" s="247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46" t="e">
        <f t="shared" si="4"/>
        <v>#N/A</v>
      </c>
      <c r="H59" s="247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46" t="e">
        <f t="shared" si="4"/>
        <v>#N/A</v>
      </c>
      <c r="H60" s="247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46" t="e">
        <f t="shared" si="4"/>
        <v>#N/A</v>
      </c>
      <c r="H61" s="247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46" t="e">
        <f t="shared" si="4"/>
        <v>#N/A</v>
      </c>
      <c r="H62" s="247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46" t="e">
        <f t="shared" si="4"/>
        <v>#N/A</v>
      </c>
      <c r="H63" s="247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46" t="e">
        <f t="shared" si="4"/>
        <v>#N/A</v>
      </c>
      <c r="H64" s="247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46" t="e">
        <f t="shared" si="4"/>
        <v>#N/A</v>
      </c>
      <c r="H65" s="247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46" t="e">
        <f t="shared" si="4"/>
        <v>#N/A</v>
      </c>
      <c r="H66" s="247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46" t="e">
        <f t="shared" si="4"/>
        <v>#N/A</v>
      </c>
      <c r="H67" s="247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46" t="e">
        <f t="shared" si="4"/>
        <v>#N/A</v>
      </c>
      <c r="H68" s="247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46" t="e">
        <f t="shared" si="4"/>
        <v>#N/A</v>
      </c>
      <c r="H69" s="247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46" t="e">
        <f t="shared" si="4"/>
        <v>#N/A</v>
      </c>
      <c r="H70" s="247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46" t="e">
        <f t="shared" si="4"/>
        <v>#N/A</v>
      </c>
      <c r="H71" s="247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46" t="e">
        <f t="shared" si="4"/>
        <v>#N/A</v>
      </c>
      <c r="H72" s="247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46" t="e">
        <f t="shared" si="4"/>
        <v>#N/A</v>
      </c>
      <c r="H73" s="247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46" t="e">
        <f t="shared" si="4"/>
        <v>#N/A</v>
      </c>
      <c r="H74" s="247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46" t="e">
        <f t="shared" si="4"/>
        <v>#N/A</v>
      </c>
      <c r="H75" s="247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46" t="e">
        <f t="shared" si="4"/>
        <v>#N/A</v>
      </c>
      <c r="H76" s="247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46" t="e">
        <f t="shared" si="4"/>
        <v>#N/A</v>
      </c>
      <c r="H77" s="247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46" t="e">
        <f t="shared" si="4"/>
        <v>#N/A</v>
      </c>
      <c r="H78" s="247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46" t="e">
        <f t="shared" si="4"/>
        <v>#N/A</v>
      </c>
      <c r="H79" s="247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46" t="e">
        <f t="shared" si="4"/>
        <v>#N/A</v>
      </c>
      <c r="H80" s="247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46" t="e">
        <f t="shared" si="4"/>
        <v>#N/A</v>
      </c>
      <c r="H81" s="247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46" t="e">
        <f t="shared" si="4"/>
        <v>#N/A</v>
      </c>
      <c r="H82" s="247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46" t="e">
        <f t="shared" si="4"/>
        <v>#N/A</v>
      </c>
      <c r="H83" s="247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46" t="e">
        <f t="shared" si="4"/>
        <v>#N/A</v>
      </c>
      <c r="H84" s="247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46" t="e">
        <f t="shared" si="4"/>
        <v>#N/A</v>
      </c>
      <c r="H85" s="247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46" t="e">
        <f t="shared" si="4"/>
        <v>#N/A</v>
      </c>
      <c r="H86" s="247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46" t="e">
        <f t="shared" si="4"/>
        <v>#N/A</v>
      </c>
      <c r="H87" s="247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46" t="e">
        <f t="shared" si="4"/>
        <v>#N/A</v>
      </c>
      <c r="H88" s="247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46" t="e">
        <f t="shared" si="4"/>
        <v>#N/A</v>
      </c>
      <c r="H89" s="247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46" t="e">
        <f t="shared" si="4"/>
        <v>#N/A</v>
      </c>
      <c r="H90" s="247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48" t="e">
        <f t="shared" si="4"/>
        <v>#N/A</v>
      </c>
      <c r="H91" s="249"/>
      <c r="I91" s="134"/>
      <c r="J91" s="134"/>
    </row>
    <row r="92" spans="1:19" ht="16.5" thickBot="1" x14ac:dyDescent="0.25">
      <c r="A92" s="60"/>
      <c r="B92" s="241" t="s">
        <v>3</v>
      </c>
      <c r="C92" s="242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3" t="e">
        <f>SUM(G32:H91)</f>
        <v>#N/A</v>
      </c>
      <c r="H92" s="244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45" t="s">
        <v>5</v>
      </c>
      <c r="F94" s="245"/>
      <c r="G94" s="245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7" t="s">
        <v>80</v>
      </c>
      <c r="I1" s="287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61" t="s">
        <v>69</v>
      </c>
      <c r="I2" s="262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3" t="e">
        <f>IF(E3="x","Збільшіть суму",IF(E3="y","Зменшіть суму",""))</f>
        <v>#N/A</v>
      </c>
      <c r="G3" s="77">
        <f>Назви!B35</f>
        <v>30.4</v>
      </c>
      <c r="H3" s="265" t="e">
        <f>VLOOKUP(H$2,Лист2!$A:$H,7,0)</f>
        <v>#N/A</v>
      </c>
      <c r="I3" s="266"/>
      <c r="J3" s="50"/>
    </row>
    <row r="4" spans="1:29" ht="9" customHeight="1" thickBot="1" x14ac:dyDescent="0.25">
      <c r="A4" s="2"/>
      <c r="B4" s="2"/>
      <c r="C4" s="2"/>
      <c r="D4" s="2"/>
      <c r="E4" s="139"/>
      <c r="F4" s="263"/>
      <c r="G4" s="42"/>
      <c r="H4" s="188"/>
      <c r="I4" s="50"/>
      <c r="J4" s="50"/>
      <c r="K4" s="69"/>
    </row>
    <row r="5" spans="1:29" ht="21" customHeight="1" thickBot="1" x14ac:dyDescent="0.25">
      <c r="A5" s="1"/>
      <c r="B5" s="288" t="s">
        <v>82</v>
      </c>
      <c r="C5" s="289"/>
      <c r="D5" s="289"/>
      <c r="E5" s="290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0" t="s">
        <v>81</v>
      </c>
      <c r="C7" s="271"/>
      <c r="D7" s="271"/>
      <c r="E7" s="272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0" t="str">
        <f>Назви!A3</f>
        <v>Процентна ставка базова, % річних</v>
      </c>
      <c r="C9" s="271">
        <f>Назви!B3</f>
        <v>0</v>
      </c>
      <c r="D9" s="271">
        <f>Назви!C3</f>
        <v>0</v>
      </c>
      <c r="E9" s="272">
        <f>Назви!D3</f>
        <v>0</v>
      </c>
      <c r="F9" s="38" t="e">
        <f>VLOOKUP(H$2,Лист2!$A:$H,4,0)</f>
        <v>#N/A</v>
      </c>
      <c r="G9" s="283"/>
      <c r="H9" s="283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0" t="str">
        <f>Назви!A7</f>
        <v>Разовий страховий тариф, %</v>
      </c>
      <c r="C11" s="271">
        <f>Назви!B7</f>
        <v>0</v>
      </c>
      <c r="D11" s="271">
        <f>Назви!C7</f>
        <v>0</v>
      </c>
      <c r="E11" s="272">
        <f>Назви!D7</f>
        <v>0</v>
      </c>
      <c r="F11" s="38" t="e">
        <f>VLOOKUP(H$2,Лист2!$A:$H,5,0)</f>
        <v>#N/A</v>
      </c>
      <c r="G11" s="283"/>
      <c r="H11" s="283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0" t="str">
        <f>Назви!A9</f>
        <v xml:space="preserve">Щомісячна плата за обслуговування кредитної заборгованості, % </v>
      </c>
      <c r="C13" s="271">
        <f>Назви!B9</f>
        <v>0</v>
      </c>
      <c r="D13" s="271">
        <f>Назви!C9</f>
        <v>0</v>
      </c>
      <c r="E13" s="272">
        <f>Назви!D9</f>
        <v>0</v>
      </c>
      <c r="F13" s="38" t="e">
        <f>VLOOKUP(H$2,Лист2!$A:$H,6,0)</f>
        <v>#N/A</v>
      </c>
      <c r="G13" s="283"/>
      <c r="H13" s="283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0" t="str">
        <f>Назви!A11</f>
        <v>Термін кредитування (міс.)</v>
      </c>
      <c r="C15" s="271">
        <f>Назви!B11</f>
        <v>0</v>
      </c>
      <c r="D15" s="271">
        <f>Назви!C11</f>
        <v>0</v>
      </c>
      <c r="E15" s="272">
        <f>Назви!D11</f>
        <v>0</v>
      </c>
      <c r="F15" s="64" t="e">
        <f>VLOOKUP(H$2,Лист2!$A:$H,3,0)</f>
        <v>#N/A</v>
      </c>
      <c r="G15" s="283"/>
      <c r="H15" s="283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3" t="str">
        <f>Назви!A14</f>
        <v>Орієнтовний платіж, грн.</v>
      </c>
      <c r="C18" s="274">
        <f>Назви!B14</f>
        <v>0</v>
      </c>
      <c r="D18" s="274">
        <f>Назви!C14</f>
        <v>0</v>
      </c>
      <c r="E18" s="275">
        <f>Назви!D14</f>
        <v>0</v>
      </c>
      <c r="F18" s="13" t="e">
        <f>PMT(F9/12,F15,-E17)+F13*E17</f>
        <v>#N/A</v>
      </c>
      <c r="G18" s="284"/>
      <c r="H18" s="285"/>
      <c r="I18" s="133"/>
      <c r="J18" s="52"/>
      <c r="K18" s="162" t="str">
        <f>Лист2!A5</f>
        <v xml:space="preserve">Цільовий,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 xml:space="preserve">Цільовий,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3" t="str">
        <f>Назви!A16</f>
        <v>Орієнтовні загальні витрати за кредитом, грн.</v>
      </c>
      <c r="C20" s="274">
        <f>Назви!B16</f>
        <v>0</v>
      </c>
      <c r="D20" s="274">
        <f>Назви!C16</f>
        <v>0</v>
      </c>
      <c r="E20" s="275">
        <f>Назви!D16</f>
        <v>0</v>
      </c>
      <c r="F20" s="13" t="e">
        <f>G89-E3</f>
        <v>#N/A</v>
      </c>
      <c r="G20" s="286"/>
      <c r="H20" s="286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3" t="str">
        <f>Назви!A18</f>
        <v>Орієнтовна загальна вартість кредиту, грн.</v>
      </c>
      <c r="C22" s="274">
        <f>Назви!B18</f>
        <v>0</v>
      </c>
      <c r="D22" s="274">
        <f>Назви!C18</f>
        <v>0</v>
      </c>
      <c r="E22" s="275">
        <f>Назви!D18</f>
        <v>0</v>
      </c>
      <c r="F22" s="13" t="e">
        <f>E3+F20</f>
        <v>#N/A</v>
      </c>
      <c r="G22" s="283"/>
      <c r="H22" s="283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3" t="str">
        <f>Назви!A20</f>
        <v>Реальна річна процентна ставка, %</v>
      </c>
      <c r="C24" s="274"/>
      <c r="D24" s="274"/>
      <c r="E24" s="275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2" t="str">
        <f>Назви!A29</f>
        <v>Орієнтовний порядок повернення кредиту</v>
      </c>
      <c r="C26" s="253"/>
      <c r="D26" s="253"/>
      <c r="E26" s="253"/>
      <c r="F26" s="253"/>
      <c r="G26" s="253"/>
      <c r="H26" s="25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55" t="str">
        <f>Назви!F30</f>
        <v>Сума платежу за розрахунковий період, грн.</v>
      </c>
      <c r="H27" s="25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1" t="e">
        <f>-1*E3</f>
        <v>#N/A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45892</v>
      </c>
      <c r="D29" s="193" t="e">
        <f>IF(B29&lt;$F$15,$F$18-E29-F29,IF(B29=$F$15,$E$17-SUM($D$28:D28),0))</f>
        <v>#N/A</v>
      </c>
      <c r="E29" s="194" t="e">
        <f>IF(B29&lt;=$F$15,(E$17*(VLOOKUP($H$2,Лист2!$A:$O,12,0)-(B29-1)*VLOOKUP($H$2,Лист2!$A:$O,13,0))),0)</f>
        <v>#N/A</v>
      </c>
      <c r="F29" s="194" t="e">
        <f>ROUND(E$17*F$9*30/365,2)</f>
        <v>#N/A</v>
      </c>
      <c r="G29" s="279" t="e">
        <f>SUM(D29:F29)</f>
        <v>#N/A</v>
      </c>
      <c r="H29" s="279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45923</v>
      </c>
      <c r="D30" s="195" t="e">
        <f>IF(B30&lt;$F$15,$F$18-E30-F30,IF(B30=$F$15,$E$17-SUM($D$28:D29),0))</f>
        <v>#N/A</v>
      </c>
      <c r="E30" s="196" t="e">
        <f>IF(B30&lt;=$F$15,(E$17*(VLOOKUP($H$2,Лист2!$A:$O,12,0)-(B30-1)*VLOOKUP($H$2,Лист2!$A:$O,13,0))),0)</f>
        <v>#N/A</v>
      </c>
      <c r="F30" s="197" t="e">
        <f>ROUND((E$17-SUM(D$29:D29))*F$9*30/365,2)</f>
        <v>#N/A</v>
      </c>
      <c r="G30" s="279" t="e">
        <f t="shared" ref="G30:G88" si="1">SUM(D30:F30)</f>
        <v>#N/A</v>
      </c>
      <c r="H30" s="279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45953</v>
      </c>
      <c r="D31" s="195" t="e">
        <f>IF(B31&lt;$F$15,$F$18-E31-F31,IF(B31=$F$15,$E$17-SUM($D$28:D30),0))</f>
        <v>#N/A</v>
      </c>
      <c r="E31" s="196" t="e">
        <f>IF(B31&lt;=$F$15,(E$17*(VLOOKUP($H$2,Лист2!$A:$O,12,0)-(B31-1)*VLOOKUP($H$2,Лист2!$A:$O,13,0))),0)</f>
        <v>#N/A</v>
      </c>
      <c r="F31" s="197" t="e">
        <f>ROUND((E$17-SUM(D$29:D30))*F$9*30/365,2)</f>
        <v>#N/A</v>
      </c>
      <c r="G31" s="279" t="e">
        <f t="shared" si="1"/>
        <v>#N/A</v>
      </c>
      <c r="H31" s="279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45984</v>
      </c>
      <c r="D32" s="195" t="e">
        <f>IF(B32&lt;$F$15,$F$18-E32-F32,IF(B32=$F$15,$E$17-SUM($D$28:D31),0))</f>
        <v>#N/A</v>
      </c>
      <c r="E32" s="196" t="e">
        <f>IF(B32&lt;=$F$15,(E$17*(VLOOKUP($H$2,Лист2!$A:$O,12,0)-(B32-1)*VLOOKUP($H$2,Лист2!$A:$O,13,0))),0)</f>
        <v>#N/A</v>
      </c>
      <c r="F32" s="197" t="e">
        <f>ROUND((E$17-SUM(D$29:D31))*F$9*30/365,2)</f>
        <v>#N/A</v>
      </c>
      <c r="G32" s="279" t="e">
        <f t="shared" si="1"/>
        <v>#N/A</v>
      </c>
      <c r="H32" s="279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46014</v>
      </c>
      <c r="D33" s="195" t="e">
        <f>IF(B33&lt;$F$15,$F$18-E33-F33,IF(B33=$F$15,$E$17-SUM($D$28:D32),0))</f>
        <v>#N/A</v>
      </c>
      <c r="E33" s="196" t="e">
        <f>IF(B33&lt;=$F$15,(E$17*(VLOOKUP($H$2,Лист2!$A:$O,12,0)-(B33-1)*VLOOKUP($H$2,Лист2!$A:$O,13,0))),0)</f>
        <v>#N/A</v>
      </c>
      <c r="F33" s="197" t="e">
        <f>ROUND((E$17-SUM(D$29:D32))*F$9*30/365,2)</f>
        <v>#N/A</v>
      </c>
      <c r="G33" s="279" t="e">
        <f t="shared" si="1"/>
        <v>#N/A</v>
      </c>
      <c r="H33" s="279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46045</v>
      </c>
      <c r="D34" s="195" t="e">
        <f>IF(B34&lt;$F$15,$F$18-E34-F34,IF(B34=$F$15,$E$17-SUM($D$28:D33),0))</f>
        <v>#N/A</v>
      </c>
      <c r="E34" s="196" t="e">
        <f>IF(B34&lt;=$F$15,(E$17*(VLOOKUP($H$2,Лист2!$A:$O,12,0)-(B34-1)*VLOOKUP($H$2,Лист2!$A:$O,13,0))),0)</f>
        <v>#N/A</v>
      </c>
      <c r="F34" s="197" t="e">
        <f>ROUND((E$17-SUM(D$29:D33))*F$9*30/365,2)</f>
        <v>#N/A</v>
      </c>
      <c r="G34" s="279" t="e">
        <f t="shared" si="1"/>
        <v>#N/A</v>
      </c>
      <c r="H34" s="279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46076</v>
      </c>
      <c r="D35" s="195" t="e">
        <f>IF(B35&lt;$F$15,$F$18-E35-F35,IF(B35=$F$15,$E$17-SUM($D$28:D34),0))</f>
        <v>#N/A</v>
      </c>
      <c r="E35" s="196" t="e">
        <f>IF(B35&lt;=$F$15,(E$17*(VLOOKUP($H$2,Лист2!$A:$O,12,0)-(B35-1)*VLOOKUP($H$2,Лист2!$A:$O,13,0))),0)</f>
        <v>#N/A</v>
      </c>
      <c r="F35" s="197" t="e">
        <f>ROUND((E$17-SUM(D$29:D34))*F$9*30/365,2)</f>
        <v>#N/A</v>
      </c>
      <c r="G35" s="279" t="e">
        <f t="shared" si="1"/>
        <v>#N/A</v>
      </c>
      <c r="H35" s="279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46104</v>
      </c>
      <c r="D36" s="195" t="e">
        <f>IF(B36&lt;$F$15,$F$18-E36-F36,IF(B36=$F$15,$E$17-SUM($D$28:D35),0))</f>
        <v>#N/A</v>
      </c>
      <c r="E36" s="196" t="e">
        <f>IF(B36&lt;=$F$15,(E$17*(VLOOKUP($H$2,Лист2!$A:$O,12,0)-(B36-1)*VLOOKUP($H$2,Лист2!$A:$O,13,0))),0)</f>
        <v>#N/A</v>
      </c>
      <c r="F36" s="197" t="e">
        <f>ROUND((E$17-SUM(D$29:D35))*F$9*30/365,2)</f>
        <v>#N/A</v>
      </c>
      <c r="G36" s="279" t="e">
        <f t="shared" si="1"/>
        <v>#N/A</v>
      </c>
      <c r="H36" s="279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46135</v>
      </c>
      <c r="D37" s="195" t="e">
        <f>IF(B37&lt;$F$15,$F$18-E37-F37,IF(B37=$F$15,$E$17-SUM($D$28:D36),0))</f>
        <v>#N/A</v>
      </c>
      <c r="E37" s="196" t="e">
        <f>IF(B37&lt;=$F$15,(E$17*(VLOOKUP($H$2,Лист2!$A:$O,12,0)-(B37-1)*VLOOKUP($H$2,Лист2!$A:$O,13,0))),0)</f>
        <v>#N/A</v>
      </c>
      <c r="F37" s="197" t="e">
        <f>ROUND((E$17-SUM(D$29:D36))*F$9*30/365,2)</f>
        <v>#N/A</v>
      </c>
      <c r="G37" s="279" t="e">
        <f t="shared" si="1"/>
        <v>#N/A</v>
      </c>
      <c r="H37" s="279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46165</v>
      </c>
      <c r="D38" s="195" t="e">
        <f>IF(B38&lt;$F$15,$F$18-E38-F38,IF(B38=$F$15,$E$17-SUM($D$28:D37),0))</f>
        <v>#N/A</v>
      </c>
      <c r="E38" s="196" t="e">
        <f>IF(B38&lt;=$F$15,(E$17*(VLOOKUP($H$2,Лист2!$A:$O,12,0)-(B38-1)*VLOOKUP($H$2,Лист2!$A:$O,13,0))),0)</f>
        <v>#N/A</v>
      </c>
      <c r="F38" s="197" t="e">
        <f>ROUND((E$17-SUM(D$29:D37))*F$9*30/365,2)</f>
        <v>#N/A</v>
      </c>
      <c r="G38" s="279" t="e">
        <f t="shared" si="1"/>
        <v>#N/A</v>
      </c>
      <c r="H38" s="279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46196</v>
      </c>
      <c r="D39" s="195" t="e">
        <f>IF(B39&lt;$F$15,$F$18-E39-F39,IF(B39=$F$15,$E$17-SUM($D$28:D38),0))</f>
        <v>#N/A</v>
      </c>
      <c r="E39" s="196" t="e">
        <f>IF(B39&lt;=$F$15,(E$17*(VLOOKUP($H$2,Лист2!$A:$O,12,0)-(B39-1)*VLOOKUP($H$2,Лист2!$A:$O,13,0))),0)</f>
        <v>#N/A</v>
      </c>
      <c r="F39" s="197" t="e">
        <f>ROUND((E$17-SUM(D$29:D38))*F$9*30/365,2)</f>
        <v>#N/A</v>
      </c>
      <c r="G39" s="279" t="e">
        <f t="shared" si="1"/>
        <v>#N/A</v>
      </c>
      <c r="H39" s="279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46226</v>
      </c>
      <c r="D40" s="195" t="e">
        <f>IF(B40&lt;$F$15,$F$18-E40-F40,IF(B40=$F$15,$E$17-SUM($D$28:D39),0))</f>
        <v>#N/A</v>
      </c>
      <c r="E40" s="196" t="e">
        <f>IF(B40&lt;=$F$15,(E$17*(VLOOKUP($H$2,Лист2!$A:$O,12,0)-(B40-1)*VLOOKUP($H$2,Лист2!$A:$O,13,0))),0)</f>
        <v>#N/A</v>
      </c>
      <c r="F40" s="197" t="e">
        <f>ROUND((E$17-SUM(D$29:D39))*F$9*30/365,2)</f>
        <v>#N/A</v>
      </c>
      <c r="G40" s="279" t="e">
        <f t="shared" si="1"/>
        <v>#N/A</v>
      </c>
      <c r="H40" s="279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46257</v>
      </c>
      <c r="D41" s="195" t="e">
        <f>IF(B41&lt;$F$15,$F$18-E41-F41,IF(B41=$F$15,$E$17-SUM($D$28:D40),0))</f>
        <v>#N/A</v>
      </c>
      <c r="E41" s="196" t="e">
        <f>IF(B41&lt;=$F$15,(E$17*(VLOOKUP($H$2,Лист2!$A:$O,12,0)-(B41-1)*VLOOKUP($H$2,Лист2!$A:$O,13,0))),0)</f>
        <v>#N/A</v>
      </c>
      <c r="F41" s="197" t="e">
        <f>ROUND((E$17-SUM(D$29:D40))*F$9*30/365,2)</f>
        <v>#N/A</v>
      </c>
      <c r="G41" s="279" t="e">
        <f t="shared" si="1"/>
        <v>#N/A</v>
      </c>
      <c r="H41" s="279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46288</v>
      </c>
      <c r="D42" s="195" t="e">
        <f>IF(B42&lt;$F$15,$F$18-E42-F42,IF(B42=$F$15,$E$17-SUM($D$28:D41),0))</f>
        <v>#N/A</v>
      </c>
      <c r="E42" s="196" t="e">
        <f>IF(B42&lt;=$F$15,(E$17*(VLOOKUP($H$2,Лист2!$A:$O,12,0)-(B42-1)*VLOOKUP($H$2,Лист2!$A:$O,13,0))),0)</f>
        <v>#N/A</v>
      </c>
      <c r="F42" s="197" t="e">
        <f>ROUND((E$17-SUM(D$29:D41))*F$9*30/365,2)</f>
        <v>#N/A</v>
      </c>
      <c r="G42" s="279" t="e">
        <f t="shared" si="1"/>
        <v>#N/A</v>
      </c>
      <c r="H42" s="279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46318</v>
      </c>
      <c r="D43" s="195" t="e">
        <f>IF(B43&lt;$F$15,$F$18-E43-F43,IF(B43=$F$15,$E$17-SUM($D$28:D42),0))</f>
        <v>#N/A</v>
      </c>
      <c r="E43" s="196" t="e">
        <f>IF(B43&lt;=$F$15,(E$17*(VLOOKUP($H$2,Лист2!$A:$O,12,0)-(B43-1)*VLOOKUP($H$2,Лист2!$A:$O,13,0))),0)</f>
        <v>#N/A</v>
      </c>
      <c r="F43" s="197" t="e">
        <f>ROUND((E$17-SUM(D$29:D42))*F$9*30/365,2)</f>
        <v>#N/A</v>
      </c>
      <c r="G43" s="279" t="e">
        <f t="shared" si="1"/>
        <v>#N/A</v>
      </c>
      <c r="H43" s="279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46349</v>
      </c>
      <c r="D44" s="195" t="e">
        <f>IF(B44&lt;$F$15,$F$18-E44-F44,IF(B44=$F$15,$E$17-SUM($D$28:D43),0))</f>
        <v>#N/A</v>
      </c>
      <c r="E44" s="196" t="e">
        <f>IF(B44&lt;=$F$15,(E$17*(VLOOKUP($H$2,Лист2!$A:$O,12,0)-(B44-1)*VLOOKUP($H$2,Лист2!$A:$O,13,0))),0)</f>
        <v>#N/A</v>
      </c>
      <c r="F44" s="197" t="e">
        <f>ROUND((E$17-SUM(D$29:D43))*F$9*30/365,2)</f>
        <v>#N/A</v>
      </c>
      <c r="G44" s="279" t="e">
        <f t="shared" si="1"/>
        <v>#N/A</v>
      </c>
      <c r="H44" s="279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46379</v>
      </c>
      <c r="D45" s="195" t="e">
        <f>IF(B45&lt;$F$15,$F$18-E45-F45,IF(B45=$F$15,$E$17-SUM($D$28:D44),0))</f>
        <v>#N/A</v>
      </c>
      <c r="E45" s="196" t="e">
        <f>IF(B45&lt;=$F$15,(E$17*(VLOOKUP($H$2,Лист2!$A:$O,12,0)-(B45-1)*VLOOKUP($H$2,Лист2!$A:$O,13,0))),0)</f>
        <v>#N/A</v>
      </c>
      <c r="F45" s="197" t="e">
        <f>ROUND((E$17-SUM(D$29:D44))*F$9*30/365,2)</f>
        <v>#N/A</v>
      </c>
      <c r="G45" s="279" t="e">
        <f t="shared" si="1"/>
        <v>#N/A</v>
      </c>
      <c r="H45" s="279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46410</v>
      </c>
      <c r="D46" s="195" t="e">
        <f>IF(B46&lt;$F$15,$F$18-E46-F46,IF(B46=$F$15,$E$17-SUM($D$28:D45),0))</f>
        <v>#N/A</v>
      </c>
      <c r="E46" s="196" t="e">
        <f>IF(B46&lt;=$F$15,(E$17*(VLOOKUP($H$2,Лист2!$A:$O,12,0)-(B46-1)*VLOOKUP($H$2,Лист2!$A:$O,13,0))),0)</f>
        <v>#N/A</v>
      </c>
      <c r="F46" s="197" t="e">
        <f>ROUND((E$17-SUM(D$29:D45))*F$9*30/365,2)</f>
        <v>#N/A</v>
      </c>
      <c r="G46" s="279" t="e">
        <f t="shared" si="1"/>
        <v>#N/A</v>
      </c>
      <c r="H46" s="279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46441</v>
      </c>
      <c r="D47" s="195" t="e">
        <f>IF(B47&lt;$F$15,$F$18-E47-F47,IF(B47=$F$15,$E$17-SUM($D$28:D46),0))</f>
        <v>#N/A</v>
      </c>
      <c r="E47" s="196" t="e">
        <f>IF(B47&lt;=$F$15,(E$17*(VLOOKUP($H$2,Лист2!$A:$O,12,0)-(B47-1)*VLOOKUP($H$2,Лист2!$A:$O,13,0))),0)</f>
        <v>#N/A</v>
      </c>
      <c r="F47" s="197" t="e">
        <f>ROUND((E$17-SUM(D$29:D46))*F$9*30/365,2)</f>
        <v>#N/A</v>
      </c>
      <c r="G47" s="279" t="e">
        <f t="shared" si="1"/>
        <v>#N/A</v>
      </c>
      <c r="H47" s="279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46469</v>
      </c>
      <c r="D48" s="195" t="e">
        <f>IF(B48&lt;$F$15,$F$18-E48-F48,IF(B48=$F$15,$E$17-SUM($D$28:D47),0))</f>
        <v>#N/A</v>
      </c>
      <c r="E48" s="196" t="e">
        <f>IF(B48&lt;=$F$15,(E$17*(VLOOKUP($H$2,Лист2!$A:$O,12,0)-(B48-1)*VLOOKUP($H$2,Лист2!$A:$O,13,0))),0)</f>
        <v>#N/A</v>
      </c>
      <c r="F48" s="197" t="e">
        <f>ROUND((E$17-SUM(D$29:D47))*F$9*30/365,2)</f>
        <v>#N/A</v>
      </c>
      <c r="G48" s="279" t="e">
        <f t="shared" si="1"/>
        <v>#N/A</v>
      </c>
      <c r="H48" s="279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46500</v>
      </c>
      <c r="D49" s="195" t="e">
        <f>IF(B49&lt;$F$15,$F$18-E49-F49,IF(B49=$F$15,$E$17-SUM($D$28:D48),0))</f>
        <v>#N/A</v>
      </c>
      <c r="E49" s="196" t="e">
        <f>IF(B49&lt;=$F$15,(E$17*(VLOOKUP($H$2,Лист2!$A:$O,12,0)-(B49-1)*VLOOKUP($H$2,Лист2!$A:$O,13,0))),0)</f>
        <v>#N/A</v>
      </c>
      <c r="F49" s="197" t="e">
        <f>ROUND((E$17-SUM(D$29:D48))*F$9*30/365,2)</f>
        <v>#N/A</v>
      </c>
      <c r="G49" s="279" t="e">
        <f t="shared" si="1"/>
        <v>#N/A</v>
      </c>
      <c r="H49" s="279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46530</v>
      </c>
      <c r="D50" s="195" t="e">
        <f>IF(B50&lt;$F$15,$F$18-E50-F50,IF(B50=$F$15,$E$17-SUM($D$28:D49),0))</f>
        <v>#N/A</v>
      </c>
      <c r="E50" s="196" t="e">
        <f>IF(B50&lt;=$F$15,(E$17*(VLOOKUP($H$2,Лист2!$A:$O,12,0)-(B50-1)*VLOOKUP($H$2,Лист2!$A:$O,13,0))),0)</f>
        <v>#N/A</v>
      </c>
      <c r="F50" s="197" t="e">
        <f>ROUND((E$17-SUM(D$29:D49))*F$9*30/365,2)</f>
        <v>#N/A</v>
      </c>
      <c r="G50" s="279" t="e">
        <f t="shared" si="1"/>
        <v>#N/A</v>
      </c>
      <c r="H50" s="279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46561</v>
      </c>
      <c r="D51" s="195" t="e">
        <f>IF(B51&lt;$F$15,$F$18-E51-F51,IF(B51=$F$15,$E$17-SUM($D$28:D50),0))</f>
        <v>#N/A</v>
      </c>
      <c r="E51" s="196" t="e">
        <f>IF(B51&lt;=$F$15,(E$17*(VLOOKUP($H$2,Лист2!$A:$O,12,0)-(B51-1)*VLOOKUP($H$2,Лист2!$A:$O,13,0))),0)</f>
        <v>#N/A</v>
      </c>
      <c r="F51" s="197" t="e">
        <f>ROUND((E$17-SUM(D$29:D50))*F$9*30/365,2)</f>
        <v>#N/A</v>
      </c>
      <c r="G51" s="279" t="e">
        <f t="shared" si="1"/>
        <v>#N/A</v>
      </c>
      <c r="H51" s="279"/>
      <c r="I51" s="3"/>
    </row>
    <row r="52" spans="1:11" x14ac:dyDescent="0.2">
      <c r="A52" s="60"/>
      <c r="B52" s="128">
        <v>24</v>
      </c>
      <c r="C52" s="132">
        <f t="shared" ca="1" si="0"/>
        <v>46591</v>
      </c>
      <c r="D52" s="195" t="e">
        <f>IF(B52&lt;$F$15,$F$18-E52-F52,IF(B52=$F$15,$E$17-SUM($D$28:D51),0))</f>
        <v>#N/A</v>
      </c>
      <c r="E52" s="196" t="e">
        <f>IF(B52&lt;=$F$15,(E$17*(VLOOKUP($H$2,Лист2!$A:$O,12,0)-(B52-1)*VLOOKUP($H$2,Лист2!$A:$O,13,0))),0)</f>
        <v>#N/A</v>
      </c>
      <c r="F52" s="197" t="e">
        <f>ROUND((E$17-SUM(D$29:D51))*F$9*30/365,2)</f>
        <v>#N/A</v>
      </c>
      <c r="G52" s="279" t="e">
        <f t="shared" si="1"/>
        <v>#N/A</v>
      </c>
      <c r="H52" s="279"/>
      <c r="I52" s="3"/>
    </row>
    <row r="53" spans="1:11" x14ac:dyDescent="0.2">
      <c r="A53" s="60"/>
      <c r="B53" s="128">
        <v>25</v>
      </c>
      <c r="C53" s="132">
        <f t="shared" ca="1" si="0"/>
        <v>46622</v>
      </c>
      <c r="D53" s="195" t="e">
        <f>IF(B53&lt;$F$15,$F$18-E53-F53,IF(B53=$F$15,$E$17-SUM($D$28:D52),0))</f>
        <v>#N/A</v>
      </c>
      <c r="E53" s="196" t="e">
        <f>IF(B53&lt;=$F$15,(E$17*(VLOOKUP($H$2,Лист2!$A:$O,12,0)-(B53-1)*VLOOKUP($H$2,Лист2!$A:$O,13,0))),0)</f>
        <v>#N/A</v>
      </c>
      <c r="F53" s="197" t="e">
        <f>ROUND((E$17-SUM(D$29:D52))*F$9*30/365,2)</f>
        <v>#N/A</v>
      </c>
      <c r="G53" s="279" t="e">
        <f t="shared" si="1"/>
        <v>#N/A</v>
      </c>
      <c r="H53" s="279"/>
      <c r="I53" s="3"/>
    </row>
    <row r="54" spans="1:11" x14ac:dyDescent="0.2">
      <c r="A54" s="60"/>
      <c r="B54" s="128">
        <v>26</v>
      </c>
      <c r="C54" s="132">
        <f t="shared" ca="1" si="0"/>
        <v>46653</v>
      </c>
      <c r="D54" s="195" t="e">
        <f>IF(B54&lt;$F$15,$F$18-E54-F54,IF(B54=$F$15,$E$17-SUM($D$28:D53),0))</f>
        <v>#N/A</v>
      </c>
      <c r="E54" s="196" t="e">
        <f>IF(B54&lt;=$F$15,(E$17*(VLOOKUP($H$2,Лист2!$A:$O,12,0)-(B54-1)*VLOOKUP($H$2,Лист2!$A:$O,13,0))),0)</f>
        <v>#N/A</v>
      </c>
      <c r="F54" s="197" t="e">
        <f>ROUND((E$17-SUM(D$29:D53))*F$9*30/365,2)</f>
        <v>#N/A</v>
      </c>
      <c r="G54" s="279" t="e">
        <f t="shared" si="1"/>
        <v>#N/A</v>
      </c>
      <c r="H54" s="279"/>
      <c r="I54" s="3"/>
    </row>
    <row r="55" spans="1:11" x14ac:dyDescent="0.2">
      <c r="A55" s="60"/>
      <c r="B55" s="128">
        <v>27</v>
      </c>
      <c r="C55" s="132">
        <f t="shared" ca="1" si="0"/>
        <v>46683</v>
      </c>
      <c r="D55" s="195" t="e">
        <f>IF(B55&lt;$F$15,$F$18-E55-F55,IF(B55=$F$15,$E$17-SUM($D$28:D54),0))</f>
        <v>#N/A</v>
      </c>
      <c r="E55" s="196" t="e">
        <f>IF(B55&lt;=$F$15,(E$17*(VLOOKUP($H$2,Лист2!$A:$O,12,0)-(B55-1)*VLOOKUP($H$2,Лист2!$A:$O,13,0))),0)</f>
        <v>#N/A</v>
      </c>
      <c r="F55" s="197" t="e">
        <f>ROUND((E$17-SUM(D$29:D54))*F$9*30/365,2)</f>
        <v>#N/A</v>
      </c>
      <c r="G55" s="279" t="e">
        <f t="shared" si="1"/>
        <v>#N/A</v>
      </c>
      <c r="H55" s="279"/>
      <c r="I55" s="3"/>
    </row>
    <row r="56" spans="1:11" x14ac:dyDescent="0.2">
      <c r="A56" s="60"/>
      <c r="B56" s="128">
        <v>28</v>
      </c>
      <c r="C56" s="132">
        <f t="shared" ca="1" si="0"/>
        <v>46714</v>
      </c>
      <c r="D56" s="195" t="e">
        <f>IF(B56&lt;$F$15,$F$18-E56-F56,IF(B56=$F$15,$E$17-SUM($D$28:D55),0))</f>
        <v>#N/A</v>
      </c>
      <c r="E56" s="196" t="e">
        <f>IF(B56&lt;=$F$15,(E$17*(VLOOKUP($H$2,Лист2!$A:$O,12,0)-(B56-1)*VLOOKUP($H$2,Лист2!$A:$O,13,0))),0)</f>
        <v>#N/A</v>
      </c>
      <c r="F56" s="197" t="e">
        <f>ROUND((E$17-SUM(D$29:D55))*F$9*30/365,2)</f>
        <v>#N/A</v>
      </c>
      <c r="G56" s="279" t="e">
        <f t="shared" si="1"/>
        <v>#N/A</v>
      </c>
      <c r="H56" s="279"/>
      <c r="I56" s="3"/>
    </row>
    <row r="57" spans="1:11" x14ac:dyDescent="0.2">
      <c r="A57" s="60"/>
      <c r="B57" s="128">
        <v>29</v>
      </c>
      <c r="C57" s="132">
        <f t="shared" ca="1" si="0"/>
        <v>46744</v>
      </c>
      <c r="D57" s="195" t="e">
        <f>IF(B57&lt;$F$15,$F$18-E57-F57,IF(B57=$F$15,$E$17-SUM($D$28:D56),0))</f>
        <v>#N/A</v>
      </c>
      <c r="E57" s="196" t="e">
        <f>IF(B57&lt;=$F$15,(E$17*(VLOOKUP($H$2,Лист2!$A:$O,12,0)-(B57-1)*VLOOKUP($H$2,Лист2!$A:$O,13,0))),0)</f>
        <v>#N/A</v>
      </c>
      <c r="F57" s="197" t="e">
        <f>ROUND((E$17-SUM(D$29:D56))*F$9*30/365,2)</f>
        <v>#N/A</v>
      </c>
      <c r="G57" s="279" t="e">
        <f t="shared" si="1"/>
        <v>#N/A</v>
      </c>
      <c r="H57" s="279"/>
      <c r="I57" s="3"/>
    </row>
    <row r="58" spans="1:11" x14ac:dyDescent="0.2">
      <c r="A58" s="60">
        <v>25</v>
      </c>
      <c r="B58" s="128">
        <v>30</v>
      </c>
      <c r="C58" s="132">
        <f t="shared" ca="1" si="0"/>
        <v>46775</v>
      </c>
      <c r="D58" s="195" t="e">
        <f>IF(B58&lt;$F$15,$F$18-E58-F58,IF(B58=$F$15,$E$17-SUM($D$28:D57),0))</f>
        <v>#N/A</v>
      </c>
      <c r="E58" s="196" t="e">
        <f>IF(B58&lt;=$F$15,(E$17*(VLOOKUP($H$2,Лист2!$A:$O,12,0)-(B58-1)*VLOOKUP($H$2,Лист2!$A:$O,13,0))),0)</f>
        <v>#N/A</v>
      </c>
      <c r="F58" s="197" t="e">
        <f>ROUND((E$17-SUM(D$29:D57))*F$9*30/365,2)</f>
        <v>#N/A</v>
      </c>
      <c r="G58" s="279" t="e">
        <f t="shared" si="1"/>
        <v>#N/A</v>
      </c>
      <c r="H58" s="279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46806</v>
      </c>
      <c r="D59" s="195" t="e">
        <f>IF(B59&lt;$F$15,$F$18-E59-F59,IF(B59=$F$15,$E$17-SUM($D$28:D58),0))</f>
        <v>#N/A</v>
      </c>
      <c r="E59" s="196" t="e">
        <f>IF(B59&lt;=$F$15,(E$17*(VLOOKUP($H$2,Лист2!$A:$O,12,0)-(B59-1)*VLOOKUP($H$2,Лист2!$A:$O,13,0))),0)</f>
        <v>#N/A</v>
      </c>
      <c r="F59" s="197" t="e">
        <f>ROUND((E$17-SUM(D$29:D58))*F$9*30/365,2)</f>
        <v>#N/A</v>
      </c>
      <c r="G59" s="279" t="e">
        <f t="shared" si="1"/>
        <v>#N/A</v>
      </c>
      <c r="H59" s="279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46835</v>
      </c>
      <c r="D60" s="195" t="e">
        <f>IF(B60&lt;$F$15,$F$18-E60-F60,IF(B60=$F$15,$E$17-SUM($D$28:D59),0))</f>
        <v>#N/A</v>
      </c>
      <c r="E60" s="196" t="e">
        <f>IF(B60&lt;=$F$15,(E$17*(VLOOKUP($H$2,Лист2!$A:$O,12,0)-(B60-1)*VLOOKUP($H$2,Лист2!$A:$O,13,0))),0)</f>
        <v>#N/A</v>
      </c>
      <c r="F60" s="197" t="e">
        <f>ROUND((E$17-SUM(D$29:D59))*F$9*30/365,2)</f>
        <v>#N/A</v>
      </c>
      <c r="G60" s="279" t="e">
        <f t="shared" si="1"/>
        <v>#N/A</v>
      </c>
      <c r="H60" s="279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46866</v>
      </c>
      <c r="D61" s="195" t="e">
        <f>IF(B61&lt;$F$15,$F$18-E61-F61,IF(B61=$F$15,$E$17-SUM($D$28:D60),0))</f>
        <v>#N/A</v>
      </c>
      <c r="E61" s="196" t="e">
        <f>IF(B61&lt;=$F$15,(E$17*(VLOOKUP($H$2,Лист2!$A:$O,12,0)-(B61-1)*VLOOKUP($H$2,Лист2!$A:$O,13,0))),0)</f>
        <v>#N/A</v>
      </c>
      <c r="F61" s="197" t="e">
        <f>ROUND((E$17-SUM(D$29:D60))*F$9*30/365,2)</f>
        <v>#N/A</v>
      </c>
      <c r="G61" s="279" t="e">
        <f t="shared" si="1"/>
        <v>#N/A</v>
      </c>
      <c r="H61" s="279"/>
      <c r="I61" s="134"/>
      <c r="J61" s="134"/>
    </row>
    <row r="62" spans="1:11" x14ac:dyDescent="0.2">
      <c r="A62" s="60"/>
      <c r="B62" s="128">
        <v>34</v>
      </c>
      <c r="C62" s="132">
        <f t="shared" ca="1" si="0"/>
        <v>46896</v>
      </c>
      <c r="D62" s="195" t="e">
        <f>IF(B62&lt;$F$15,$F$18-E62-F62,IF(B62=$F$15,$E$17-SUM($D$28:D61),0))</f>
        <v>#N/A</v>
      </c>
      <c r="E62" s="196" t="e">
        <f>IF(B62&lt;=$F$15,(E$17*(VLOOKUP($H$2,Лист2!$A:$O,12,0)-(B62-1)*VLOOKUP($H$2,Лист2!$A:$O,13,0))),0)</f>
        <v>#N/A</v>
      </c>
      <c r="F62" s="197" t="e">
        <f>ROUND((E$17-SUM(D$29:D61))*F$9*30/365,2)</f>
        <v>#N/A</v>
      </c>
      <c r="G62" s="279" t="e">
        <f t="shared" si="1"/>
        <v>#N/A</v>
      </c>
      <c r="H62" s="279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46927</v>
      </c>
      <c r="D63" s="195" t="e">
        <f>IF(B63&lt;$F$15,$F$18-E63-F63,IF(B63=$F$15,$E$17-SUM($D$28:D62),0))</f>
        <v>#N/A</v>
      </c>
      <c r="E63" s="196" t="e">
        <f>IF(B63&lt;=$F$15,(E$17*(VLOOKUP($H$2,Лист2!$A:$O,12,0)-(B63-1)*VLOOKUP($H$2,Лист2!$A:$O,13,0))),0)</f>
        <v>#N/A</v>
      </c>
      <c r="F63" s="197" t="e">
        <f>ROUND((E$17-SUM(D$29:D62))*F$9*30/365,2)</f>
        <v>#N/A</v>
      </c>
      <c r="G63" s="279" t="e">
        <f t="shared" si="1"/>
        <v>#N/A</v>
      </c>
      <c r="H63" s="279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46957</v>
      </c>
      <c r="D64" s="195" t="e">
        <f>IF(B64&lt;$F$15,$F$18-E64-F64,IF(B64=$F$15,$E$17-SUM($D$28:D63),0))</f>
        <v>#N/A</v>
      </c>
      <c r="E64" s="196" t="e">
        <f>IF(B64&lt;=$F$15,(E$17*(VLOOKUP($H$2,Лист2!$A:$O,12,0)-(B64-1)*VLOOKUP($H$2,Лист2!$A:$O,13,0))),0)</f>
        <v>#N/A</v>
      </c>
      <c r="F64" s="197" t="e">
        <f>ROUND((E$17-SUM(D$29:D63))*F$9*30/365,2)</f>
        <v>#N/A</v>
      </c>
      <c r="G64" s="279" t="e">
        <f t="shared" si="1"/>
        <v>#N/A</v>
      </c>
      <c r="H64" s="279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46988</v>
      </c>
      <c r="D65" s="195" t="e">
        <f>IF(B65&lt;$F$15,$F$18-E65-F65,IF(B65=$F$15,$E$17-SUM($D$28:D64),0))</f>
        <v>#N/A</v>
      </c>
      <c r="E65" s="196" t="e">
        <f>IF(B65&lt;=$F$15,(E$17*(VLOOKUP($H$2,Лист2!$A:$O,12,0)-(B65-1)*VLOOKUP($H$2,Лист2!$A:$O,13,0))),0)</f>
        <v>#N/A</v>
      </c>
      <c r="F65" s="197" t="e">
        <f>ROUND((E$17-SUM(D$29:D64))*F$9*30/365,2)</f>
        <v>#N/A</v>
      </c>
      <c r="G65" s="279" t="e">
        <f t="shared" si="1"/>
        <v>#N/A</v>
      </c>
      <c r="H65" s="279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47019</v>
      </c>
      <c r="D66" s="195" t="e">
        <f>IF(B66&lt;$F$15,$F$18-E66-F66,IF(B66=$F$15,$E$17-SUM($D$28:D65),0))</f>
        <v>#N/A</v>
      </c>
      <c r="E66" s="196" t="e">
        <f>IF(B66&lt;=$F$15,(E$17*(VLOOKUP($H$2,Лист2!$A:$O,12,0)-(B66-1)*VLOOKUP($H$2,Лист2!$A:$O,13,0))),0)</f>
        <v>#N/A</v>
      </c>
      <c r="F66" s="197" t="e">
        <f>ROUND((E$17-SUM(D$29:D65))*F$9*30/365,2)</f>
        <v>#N/A</v>
      </c>
      <c r="G66" s="279" t="e">
        <f t="shared" si="1"/>
        <v>#N/A</v>
      </c>
      <c r="H66" s="279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47049</v>
      </c>
      <c r="D67" s="195" t="e">
        <f>IF(B67&lt;$F$15,$F$18-E67-F67,IF(B67=$F$15,$E$17-SUM($D$28:D66),0))</f>
        <v>#N/A</v>
      </c>
      <c r="E67" s="196" t="e">
        <f>IF(B67&lt;=$F$15,(E$17*(VLOOKUP($H$2,Лист2!$A:$O,12,0)-(B67-1)*VLOOKUP($H$2,Лист2!$A:$O,13,0))),0)</f>
        <v>#N/A</v>
      </c>
      <c r="F67" s="197" t="e">
        <f>ROUND((E$17-SUM(D$29:D66))*F$9*30/365,2)</f>
        <v>#N/A</v>
      </c>
      <c r="G67" s="279" t="e">
        <f t="shared" si="1"/>
        <v>#N/A</v>
      </c>
      <c r="H67" s="279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47080</v>
      </c>
      <c r="D68" s="195" t="e">
        <f>IF(B68&lt;$F$15,$F$18-E68-F68,IF(B68=$F$15,$E$17-SUM($D$28:D67),0))</f>
        <v>#N/A</v>
      </c>
      <c r="E68" s="196" t="e">
        <f>IF(B68&lt;=$F$15,(E$17*(VLOOKUP($H$2,Лист2!$A:$O,12,0)-(B68-1)*VLOOKUP($H$2,Лист2!$A:$O,13,0))),0)</f>
        <v>#N/A</v>
      </c>
      <c r="F68" s="197" t="e">
        <f>ROUND((E$17-SUM(D$29:D67))*F$9*30/365,2)</f>
        <v>#N/A</v>
      </c>
      <c r="G68" s="279" t="e">
        <f t="shared" si="1"/>
        <v>#N/A</v>
      </c>
      <c r="H68" s="279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47110</v>
      </c>
      <c r="D69" s="195" t="e">
        <f>IF(B69&lt;$F$15,$F$18-E69-F69,IF(B69=$F$15,$E$17-SUM($D$28:D68),0))</f>
        <v>#N/A</v>
      </c>
      <c r="E69" s="196" t="e">
        <f>IF(B69&lt;=$F$15,(E$17*(VLOOKUP($H$2,Лист2!$A:$O,12,0)-(B69-1)*VLOOKUP($H$2,Лист2!$A:$O,13,0))),0)</f>
        <v>#N/A</v>
      </c>
      <c r="F69" s="197" t="e">
        <f>ROUND((E$17-SUM(D$29:D68))*F$9*30/365,2)</f>
        <v>#N/A</v>
      </c>
      <c r="G69" s="279" t="e">
        <f t="shared" si="1"/>
        <v>#N/A</v>
      </c>
      <c r="H69" s="279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47141</v>
      </c>
      <c r="D70" s="195" t="e">
        <f>IF(B70&lt;$F$15,$F$18-E70-F70,IF(B70=$F$15,$E$17-SUM($D$28:D69),0))</f>
        <v>#N/A</v>
      </c>
      <c r="E70" s="196" t="e">
        <f>IF(B70&lt;=$F$15,(E$17*(VLOOKUP($H$2,Лист2!$A:$O,12,0)-(B70-1)*VLOOKUP($H$2,Лист2!$A:$O,13,0))),0)</f>
        <v>#N/A</v>
      </c>
      <c r="F70" s="197" t="e">
        <f>ROUND((E$17-SUM(D$29:D69))*F$9*30/365,2)</f>
        <v>#N/A</v>
      </c>
      <c r="G70" s="279" t="e">
        <f t="shared" si="1"/>
        <v>#N/A</v>
      </c>
      <c r="H70" s="279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47172</v>
      </c>
      <c r="D71" s="195" t="e">
        <f>IF(B71&lt;$F$15,$F$18-E71-F71,IF(B71=$F$15,$E$17-SUM($D$28:D70),0))</f>
        <v>#N/A</v>
      </c>
      <c r="E71" s="196" t="e">
        <f>IF(B71&lt;=$F$15,(E$17*(VLOOKUP($H$2,Лист2!$A:$O,12,0)-(B71-1)*VLOOKUP($H$2,Лист2!$A:$O,13,0))),0)</f>
        <v>#N/A</v>
      </c>
      <c r="F71" s="197" t="e">
        <f>ROUND((E$17-SUM(D$29:D70))*F$9*30/365,2)</f>
        <v>#N/A</v>
      </c>
      <c r="G71" s="279" t="e">
        <f t="shared" si="1"/>
        <v>#N/A</v>
      </c>
      <c r="H71" s="279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47200</v>
      </c>
      <c r="D72" s="195" t="e">
        <f>IF(B72&lt;$F$15,$F$18-E72-F72,IF(B72=$F$15,$E$17-SUM($D$28:D71),0))</f>
        <v>#N/A</v>
      </c>
      <c r="E72" s="196" t="e">
        <f>IF(B72&lt;=$F$15,(E$17*(VLOOKUP($H$2,Лист2!$A:$O,12,0)-(B72-1)*VLOOKUP($H$2,Лист2!$A:$O,13,0))),0)</f>
        <v>#N/A</v>
      </c>
      <c r="F72" s="197" t="e">
        <f>ROUND((E$17-SUM(D$29:D71))*F$9*30/365,2)</f>
        <v>#N/A</v>
      </c>
      <c r="G72" s="279" t="e">
        <f t="shared" si="1"/>
        <v>#N/A</v>
      </c>
      <c r="H72" s="279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47231</v>
      </c>
      <c r="D73" s="195" t="e">
        <f>IF(B73&lt;$F$15,$F$18-E73-F73,IF(B73=$F$15,$E$17-SUM($D$28:D72),0))</f>
        <v>#N/A</v>
      </c>
      <c r="E73" s="196" t="e">
        <f>IF(B73&lt;=$F$15,(E$17*(VLOOKUP($H$2,Лист2!$A:$O,12,0)-(B73-1)*VLOOKUP($H$2,Лист2!$A:$O,13,0))),0)</f>
        <v>#N/A</v>
      </c>
      <c r="F73" s="197" t="e">
        <f>ROUND((E$17-SUM(D$29:D72))*F$9*30/365,2)</f>
        <v>#N/A</v>
      </c>
      <c r="G73" s="279" t="e">
        <f t="shared" si="1"/>
        <v>#N/A</v>
      </c>
      <c r="H73" s="279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47261</v>
      </c>
      <c r="D74" s="195" t="e">
        <f>IF(B74&lt;$F$15,$F$18-E74-F74,IF(B74=$F$15,$E$17-SUM($D$28:D73),0))</f>
        <v>#N/A</v>
      </c>
      <c r="E74" s="196" t="e">
        <f>IF(B74&lt;=$F$15,(E$17*(VLOOKUP($H$2,Лист2!$A:$O,12,0)-(B74-1)*VLOOKUP($H$2,Лист2!$A:$O,13,0))),0)</f>
        <v>#N/A</v>
      </c>
      <c r="F74" s="197" t="e">
        <f>ROUND((E$17-SUM(D$29:D73))*F$9*30/365,2)</f>
        <v>#N/A</v>
      </c>
      <c r="G74" s="279" t="e">
        <f t="shared" si="1"/>
        <v>#N/A</v>
      </c>
      <c r="H74" s="279"/>
      <c r="I74" s="134"/>
      <c r="J74" s="134"/>
    </row>
    <row r="75" spans="1:10" x14ac:dyDescent="0.2">
      <c r="A75" s="60"/>
      <c r="B75" s="128">
        <v>47</v>
      </c>
      <c r="C75" s="132">
        <f t="shared" ca="1" si="0"/>
        <v>47292</v>
      </c>
      <c r="D75" s="195" t="e">
        <f>IF(B75&lt;$F$15,$F$18-E75-F75,IF(B75=$F$15,$E$17-SUM($D$28:D74),0))</f>
        <v>#N/A</v>
      </c>
      <c r="E75" s="196" t="e">
        <f>IF(B75&lt;=$F$15,(E$17*(VLOOKUP($H$2,Лист2!$A:$O,12,0)-(B75-1)*VLOOKUP($H$2,Лист2!$A:$O,13,0))),0)</f>
        <v>#N/A</v>
      </c>
      <c r="F75" s="197" t="e">
        <f>ROUND((E$17-SUM(D$29:D74))*F$9*30/365,2)</f>
        <v>#N/A</v>
      </c>
      <c r="G75" s="279" t="e">
        <f t="shared" si="1"/>
        <v>#N/A</v>
      </c>
      <c r="H75" s="279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47322</v>
      </c>
      <c r="D76" s="195" t="e">
        <f>IF(B76&lt;$F$15,$F$18-E76-F76,IF(B76=$F$15,$E$17-SUM($D$28:D75),0))</f>
        <v>#N/A</v>
      </c>
      <c r="E76" s="196" t="e">
        <f>IF(B76&lt;=$F$15,(E$17*(VLOOKUP($H$2,Лист2!$A:$O,12,0)-(B76-1)*VLOOKUP($H$2,Лист2!$A:$O,13,0))),0)</f>
        <v>#N/A</v>
      </c>
      <c r="F76" s="197" t="e">
        <f>ROUND((E$17-SUM(D$29:D75))*F$9*30/365,2)</f>
        <v>#N/A</v>
      </c>
      <c r="G76" s="279" t="e">
        <f t="shared" si="1"/>
        <v>#N/A</v>
      </c>
      <c r="H76" s="279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47353</v>
      </c>
      <c r="D77" s="195" t="e">
        <f>IF(B77&lt;$F$15,$F$18-E77-F77,IF(B77=$F$15,$E$17-SUM($D$28:D76),0))</f>
        <v>#N/A</v>
      </c>
      <c r="E77" s="196" t="e">
        <f>IF(B77&lt;=$F$15,(E$17*(VLOOKUP($H$2,Лист2!$A:$O,12,0)-(B77-1)*VLOOKUP($H$2,Лист2!$A:$O,13,0))),0)</f>
        <v>#N/A</v>
      </c>
      <c r="F77" s="197" t="e">
        <f>ROUND((E$17-SUM(D$29:D76))*F$9*30/365,2)</f>
        <v>#N/A</v>
      </c>
      <c r="G77" s="279" t="e">
        <f t="shared" si="1"/>
        <v>#N/A</v>
      </c>
      <c r="H77" s="279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47384</v>
      </c>
      <c r="D78" s="195" t="e">
        <f>IF(B78&lt;$F$15,$F$18-E78-F78,IF(B78=$F$15,$E$17-SUM($D$28:D77),0))</f>
        <v>#N/A</v>
      </c>
      <c r="E78" s="196" t="e">
        <f>IF(B78&lt;=$F$15,(E$17*(VLOOKUP($H$2,Лист2!$A:$O,12,0)-(B78-1)*VLOOKUP($H$2,Лист2!$A:$O,13,0))),0)</f>
        <v>#N/A</v>
      </c>
      <c r="F78" s="197" t="e">
        <f>ROUND((E$17-SUM(D$29:D77))*F$9*30/365,2)</f>
        <v>#N/A</v>
      </c>
      <c r="G78" s="279" t="e">
        <f t="shared" si="1"/>
        <v>#N/A</v>
      </c>
      <c r="H78" s="279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47414</v>
      </c>
      <c r="D79" s="195" t="e">
        <f>IF(B79&lt;$F$15,$F$18-E79-F79,IF(B79=$F$15,$E$17-SUM($D$28:D78),0))</f>
        <v>#N/A</v>
      </c>
      <c r="E79" s="196" t="e">
        <f>IF(B79&lt;=$F$15,(E$17*(VLOOKUP($H$2,Лист2!$A:$O,12,0)-(B79-1)*VLOOKUP($H$2,Лист2!$A:$O,13,0))),0)</f>
        <v>#N/A</v>
      </c>
      <c r="F79" s="197" t="e">
        <f>ROUND((E$17-SUM(D$29:D78))*F$9*30/365,2)</f>
        <v>#N/A</v>
      </c>
      <c r="G79" s="279" t="e">
        <f t="shared" si="1"/>
        <v>#N/A</v>
      </c>
      <c r="H79" s="279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47445</v>
      </c>
      <c r="D80" s="195" t="e">
        <f>IF(B80&lt;$F$15,$F$18-E80-F80,IF(B80=$F$15,$E$17-SUM($D$28:D79),0))</f>
        <v>#N/A</v>
      </c>
      <c r="E80" s="196" t="e">
        <f>IF(B80&lt;=$F$15,(E$17*(VLOOKUP($H$2,Лист2!$A:$O,12,0)-(B80-1)*VLOOKUP($H$2,Лист2!$A:$O,13,0))),0)</f>
        <v>#N/A</v>
      </c>
      <c r="F80" s="197" t="e">
        <f>ROUND((E$17-SUM(D$29:D79))*F$9*30/365,2)</f>
        <v>#N/A</v>
      </c>
      <c r="G80" s="279" t="e">
        <f t="shared" si="1"/>
        <v>#N/A</v>
      </c>
      <c r="H80" s="279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47475</v>
      </c>
      <c r="D81" s="195" t="e">
        <f>IF(B81&lt;$F$15,$F$18-E81-F81,IF(B81=$F$15,$E$17-SUM($D$28:D80),0))</f>
        <v>#N/A</v>
      </c>
      <c r="E81" s="196" t="e">
        <f>IF(B81&lt;=$F$15,(E$17*(VLOOKUP($H$2,Лист2!$A:$O,12,0)-(B81-1)*VLOOKUP($H$2,Лист2!$A:$O,13,0))),0)</f>
        <v>#N/A</v>
      </c>
      <c r="F81" s="197" t="e">
        <f>ROUND((E$17-SUM(D$29:D80))*F$9*30/365,2)</f>
        <v>#N/A</v>
      </c>
      <c r="G81" s="279" t="e">
        <f t="shared" si="1"/>
        <v>#N/A</v>
      </c>
      <c r="H81" s="279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47506</v>
      </c>
      <c r="D82" s="195" t="e">
        <f>IF(B82&lt;$F$15,$F$18-E82-F82,IF(B82=$F$15,$E$17-SUM($D$28:D81),0))</f>
        <v>#N/A</v>
      </c>
      <c r="E82" s="196" t="e">
        <f>IF(B82&lt;=$F$15,(E$17*(VLOOKUP($H$2,Лист2!$A:$O,12,0)-(B82-1)*VLOOKUP($H$2,Лист2!$A:$O,13,0))),0)</f>
        <v>#N/A</v>
      </c>
      <c r="F82" s="197" t="e">
        <f>ROUND((E$17-SUM(D$29:D81))*F$9*30/365,2)</f>
        <v>#N/A</v>
      </c>
      <c r="G82" s="279" t="e">
        <f t="shared" si="1"/>
        <v>#N/A</v>
      </c>
      <c r="H82" s="279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47537</v>
      </c>
      <c r="D83" s="195" t="e">
        <f>IF(B83&lt;$F$15,$F$18-E83-F83,IF(B83=$F$15,$E$17-SUM($D$28:D82),0))</f>
        <v>#N/A</v>
      </c>
      <c r="E83" s="196" t="e">
        <f>IF(B83&lt;=$F$15,(E$17*(VLOOKUP($H$2,Лист2!$A:$O,12,0)-(B83-1)*VLOOKUP($H$2,Лист2!$A:$O,13,0))),0)</f>
        <v>#N/A</v>
      </c>
      <c r="F83" s="197" t="e">
        <f>ROUND((E$17-SUM(D$29:D82))*F$9*30/365,2)</f>
        <v>#N/A</v>
      </c>
      <c r="G83" s="279" t="e">
        <f t="shared" si="1"/>
        <v>#N/A</v>
      </c>
      <c r="H83" s="279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47565</v>
      </c>
      <c r="D84" s="195" t="e">
        <f>IF(B84&lt;$F$15,$F$18-E84-F84,IF(B84=$F$15,$E$17-SUM($D$28:D83),0))</f>
        <v>#N/A</v>
      </c>
      <c r="E84" s="196" t="e">
        <f>IF(B84&lt;=$F$15,(E$17*(VLOOKUP($H$2,Лист2!$A:$O,12,0)-(B84-1)*VLOOKUP($H$2,Лист2!$A:$O,13,0))),0)</f>
        <v>#N/A</v>
      </c>
      <c r="F84" s="197" t="e">
        <f>ROUND((E$17-SUM(D$29:D83))*F$9*30/365,2)</f>
        <v>#N/A</v>
      </c>
      <c r="G84" s="279" t="e">
        <f t="shared" si="1"/>
        <v>#N/A</v>
      </c>
      <c r="H84" s="279"/>
      <c r="I84" s="134"/>
      <c r="J84" s="134"/>
    </row>
    <row r="85" spans="1:10" x14ac:dyDescent="0.2">
      <c r="A85" s="60"/>
      <c r="B85" s="128">
        <v>57</v>
      </c>
      <c r="C85" s="132">
        <f t="shared" ca="1" si="0"/>
        <v>47596</v>
      </c>
      <c r="D85" s="195" t="e">
        <f>IF(B85&lt;$F$15,$F$18-E85-F85,IF(B85=$F$15,$E$17-SUM($D$28:D84),0))</f>
        <v>#N/A</v>
      </c>
      <c r="E85" s="196" t="e">
        <f>IF(B85&lt;=$F$15,(E$17*(VLOOKUP($H$2,Лист2!$A:$O,12,0)-(B85-1)*VLOOKUP($H$2,Лист2!$A:$O,13,0))),0)</f>
        <v>#N/A</v>
      </c>
      <c r="F85" s="197" t="e">
        <f>ROUND((E$17-SUM(D$29:D84))*F$9*30/365,2)</f>
        <v>#N/A</v>
      </c>
      <c r="G85" s="279" t="e">
        <f t="shared" si="1"/>
        <v>#N/A</v>
      </c>
      <c r="H85" s="279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47626</v>
      </c>
      <c r="D86" s="195" t="e">
        <f>IF(B86&lt;$F$15,$F$18-E86-F86,IF(B86=$F$15,$E$17-SUM($D$28:D85),0))</f>
        <v>#N/A</v>
      </c>
      <c r="E86" s="196" t="e">
        <f>IF(B86&lt;=$F$15,(E$17*(VLOOKUP($H$2,Лист2!$A:$O,12,0)-(B86-1)*VLOOKUP($H$2,Лист2!$A:$O,13,0))),0)</f>
        <v>#N/A</v>
      </c>
      <c r="F86" s="197" t="e">
        <f>ROUND((E$17-SUM(D$29:D85))*F$9*30/365,2)</f>
        <v>#N/A</v>
      </c>
      <c r="G86" s="279" t="e">
        <f t="shared" si="1"/>
        <v>#N/A</v>
      </c>
      <c r="H86" s="279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47657</v>
      </c>
      <c r="D87" s="195" t="e">
        <f>IF(B87&lt;$F$15,$F$18-E87-F87,IF(B87=$F$15,$E$17-SUM($D$28:D86),0))</f>
        <v>#N/A</v>
      </c>
      <c r="E87" s="196" t="e">
        <f>IF(B87&lt;=$F$15,(E$17*(VLOOKUP($H$2,Лист2!$A:$O,12,0)-(B87-1)*VLOOKUP($H$2,Лист2!$A:$O,13,0))),0)</f>
        <v>#N/A</v>
      </c>
      <c r="F87" s="197" t="e">
        <f>ROUND((E$17-SUM(D$29:D86))*F$9*30/365,2)</f>
        <v>#N/A</v>
      </c>
      <c r="G87" s="279" t="e">
        <f t="shared" si="1"/>
        <v>#N/A</v>
      </c>
      <c r="H87" s="279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47687</v>
      </c>
      <c r="D88" s="198" t="e">
        <f>IF(B88&lt;$F$15,$F$18-E88-F88,IF(B88=$F$15,$E$17-SUM($D$28:D87),0))</f>
        <v>#N/A</v>
      </c>
      <c r="E88" s="199" t="e">
        <f>IF(B88&lt;=$F$15,(E$17*(VLOOKUP($H$2,Лист2!$A:$O,12,0)-(B88-1)*VLOOKUP($H$2,Лист2!$A:$O,13,0))),0)</f>
        <v>#N/A</v>
      </c>
      <c r="F88" s="200" t="e">
        <f>ROUND((E$17-SUM(D$29:D87))*F$9*30/365,2)</f>
        <v>#N/A</v>
      </c>
      <c r="G88" s="280" t="e">
        <f t="shared" si="1"/>
        <v>#N/A</v>
      </c>
      <c r="H88" s="280"/>
      <c r="I88" s="134"/>
      <c r="J88" s="134"/>
    </row>
    <row r="89" spans="1:10" ht="16.5" thickBot="1" x14ac:dyDescent="0.25">
      <c r="A89" s="60"/>
      <c r="B89" s="241" t="s">
        <v>3</v>
      </c>
      <c r="C89" s="276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77" t="e">
        <f>SUM(G29:H88)</f>
        <v>#N/A</v>
      </c>
      <c r="H89" s="278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45" t="s">
        <v>5</v>
      </c>
      <c r="F91" s="245"/>
      <c r="G91" s="245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tabColor rgb="FFFFFF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13.140625" style="4" hidden="1" customWidth="1" outlineLevel="1"/>
    <col min="12" max="12" width="14.57031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7" t="s">
        <v>80</v>
      </c>
      <c r="I1" s="287"/>
    </row>
    <row r="2" spans="1:29" ht="12.75" customHeight="1" x14ac:dyDescent="0.2">
      <c r="A2" s="2"/>
      <c r="B2" s="61"/>
      <c r="C2" s="61"/>
      <c r="D2" s="61"/>
      <c r="E2" s="139">
        <f>VLOOKUP('Цільовий СК'!H2,Лист3!A:O,14,FALSE)</f>
        <v>1000</v>
      </c>
      <c r="F2" s="126">
        <f>VLOOKUP(H$2,Лист3!$A:$H,2,0)</f>
        <v>454545.46</v>
      </c>
      <c r="G2" s="185">
        <f ca="1">TODAY()</f>
        <v>45861</v>
      </c>
      <c r="H2" s="261" t="s">
        <v>95</v>
      </c>
      <c r="I2" s="262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200000</v>
      </c>
      <c r="F3" s="263" t="str">
        <f>IF(E3="x","Збільшіть суму",IF(E3="y","Зменшіть суму",""))</f>
        <v/>
      </c>
      <c r="G3" s="77">
        <f>Назви!B35</f>
        <v>30.4</v>
      </c>
      <c r="H3" s="265" t="str">
        <f>VLOOKUP(H$2,Лист3!$A:$H,7,0)</f>
        <v>max. 454545,46 грн.</v>
      </c>
      <c r="I3" s="266"/>
      <c r="J3" s="50"/>
    </row>
    <row r="4" spans="1:29" ht="9" customHeight="1" thickBot="1" x14ac:dyDescent="0.25">
      <c r="A4" s="2"/>
      <c r="B4" s="2"/>
      <c r="C4" s="2"/>
      <c r="D4" s="2"/>
      <c r="E4" s="139"/>
      <c r="F4" s="263"/>
      <c r="G4" s="42"/>
      <c r="H4" s="188"/>
      <c r="I4" s="50"/>
      <c r="J4" s="50"/>
      <c r="K4" s="69"/>
    </row>
    <row r="5" spans="1:29" ht="21" customHeight="1" thickBot="1" x14ac:dyDescent="0.25">
      <c r="A5" s="1"/>
      <c r="B5" s="288" t="s">
        <v>82</v>
      </c>
      <c r="C5" s="289"/>
      <c r="D5" s="289"/>
      <c r="E5" s="290"/>
      <c r="F5" s="205">
        <v>200000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0" t="s">
        <v>81</v>
      </c>
      <c r="C7" s="271"/>
      <c r="D7" s="271"/>
      <c r="E7" s="272"/>
      <c r="F7" s="13">
        <f>D89</f>
        <v>220000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0" t="str">
        <f>Назви!A3</f>
        <v>Процентна ставка базова, % річних</v>
      </c>
      <c r="C9" s="271">
        <f>Назви!B3</f>
        <v>0</v>
      </c>
      <c r="D9" s="271">
        <f>Назви!C3</f>
        <v>0</v>
      </c>
      <c r="E9" s="272">
        <f>Назви!D3</f>
        <v>0</v>
      </c>
      <c r="F9" s="38">
        <f>VLOOKUP(H$2,Лист3!$A:$H,4,0)</f>
        <v>0.55989999999999995</v>
      </c>
      <c r="G9" s="283"/>
      <c r="H9" s="283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0" t="str">
        <f>Назви!A7</f>
        <v>Разовий страховий тариф, %</v>
      </c>
      <c r="C11" s="271">
        <f>Назви!B7</f>
        <v>0</v>
      </c>
      <c r="D11" s="271">
        <f>Назви!C7</f>
        <v>0</v>
      </c>
      <c r="E11" s="272">
        <f>Назви!D7</f>
        <v>0</v>
      </c>
      <c r="F11" s="38">
        <f>VLOOKUP(H$2,Лист3!$A:$H,5,0)</f>
        <v>0.1</v>
      </c>
      <c r="G11" s="283"/>
      <c r="H11" s="283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0" t="str">
        <f>Назви!A9</f>
        <v xml:space="preserve">Щомісячна плата за обслуговування кредитної заборгованості, % </v>
      </c>
      <c r="C13" s="271">
        <f>Назви!B9</f>
        <v>0</v>
      </c>
      <c r="D13" s="271">
        <f>Назви!C9</f>
        <v>0</v>
      </c>
      <c r="E13" s="272">
        <f>Назви!D9</f>
        <v>0</v>
      </c>
      <c r="F13" s="38">
        <f>VLOOKUP(H$2,Лист3!$A:$H,6,0)</f>
        <v>0</v>
      </c>
      <c r="G13" s="283"/>
      <c r="H13" s="283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0" t="str">
        <f>Назви!A11</f>
        <v>Термін кредитування (міс.)</v>
      </c>
      <c r="C15" s="271">
        <f>Назви!B11</f>
        <v>0</v>
      </c>
      <c r="D15" s="271">
        <f>Назви!C11</f>
        <v>0</v>
      </c>
      <c r="E15" s="272">
        <f>Назви!D11</f>
        <v>0</v>
      </c>
      <c r="F15" s="64">
        <f>VLOOKUP(H$2,Лист3!$A:$H,3,0)</f>
        <v>12</v>
      </c>
      <c r="G15" s="283"/>
      <c r="H15" s="283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20000</v>
      </c>
      <c r="F16" s="61"/>
      <c r="G16" s="120"/>
      <c r="H16" s="11"/>
      <c r="I16" s="1"/>
      <c r="J16" s="52"/>
      <c r="K16" s="162" t="str">
        <f>Лист2!A11</f>
        <v xml:space="preserve">Цільовий, 60 міс. 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220000</v>
      </c>
      <c r="F17" s="61"/>
      <c r="G17" s="120"/>
      <c r="H17" s="11"/>
      <c r="I17" s="1"/>
      <c r="J17" s="124"/>
      <c r="K17" s="162" t="str">
        <f>Лист2!A12</f>
        <v xml:space="preserve">Цільовий, 36 міс. 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3" t="str">
        <f>Назви!A14</f>
        <v>Орієнтовний платіж, грн.</v>
      </c>
      <c r="C18" s="274">
        <f>Назви!B14</f>
        <v>0</v>
      </c>
      <c r="D18" s="274">
        <f>Назви!C14</f>
        <v>0</v>
      </c>
      <c r="E18" s="275">
        <f>Назви!D14</f>
        <v>0</v>
      </c>
      <c r="F18" s="13">
        <f>PMT(F9/12,F15,-E17)+F13*E17</f>
        <v>24355.983582760404</v>
      </c>
      <c r="G18" s="284"/>
      <c r="H18" s="285"/>
      <c r="I18" s="133"/>
      <c r="J18" s="52"/>
      <c r="K18" s="162" t="str">
        <f>Лист2!A13</f>
        <v xml:space="preserve">Цільовий, 24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Лист2!A14</f>
        <v xml:space="preserve">Цільовий, 12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3" t="str">
        <f>Назви!A16</f>
        <v>Орієнтовні загальні витрати за кредитом, грн.</v>
      </c>
      <c r="C20" s="274">
        <f>Назви!B16</f>
        <v>0</v>
      </c>
      <c r="D20" s="274">
        <f>Назви!C16</f>
        <v>0</v>
      </c>
      <c r="E20" s="275">
        <f>Назви!D16</f>
        <v>0</v>
      </c>
      <c r="F20" s="13">
        <f>G89-E3</f>
        <v>92271.802993124817</v>
      </c>
      <c r="G20" s="286"/>
      <c r="H20" s="286"/>
      <c r="I20" s="1"/>
      <c r="J20" s="53"/>
      <c r="K20" s="162">
        <f>Лист2!A15</f>
        <v>0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>
        <f>Лист2!A16</f>
        <v>0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3" t="str">
        <f>Назви!A18</f>
        <v>Орієнтовна загальна вартість кредиту, грн.</v>
      </c>
      <c r="C22" s="274">
        <f>Назви!B18</f>
        <v>0</v>
      </c>
      <c r="D22" s="274">
        <f>Назви!C18</f>
        <v>0</v>
      </c>
      <c r="E22" s="275">
        <f>Назви!D18</f>
        <v>0</v>
      </c>
      <c r="F22" s="13">
        <f>F7+F20</f>
        <v>312271.80299312482</v>
      </c>
      <c r="G22" s="283"/>
      <c r="H22" s="283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3" t="str">
        <f>Назви!A20</f>
        <v>Реальна річна процентна ставка, %</v>
      </c>
      <c r="C24" s="274"/>
      <c r="D24" s="274"/>
      <c r="E24" s="275"/>
      <c r="F24" s="38">
        <f ca="1">XIRR(G28:G88,C28:C88)</f>
        <v>1.0938491225242615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2" t="str">
        <f>Назви!A29</f>
        <v>Орієнтовний порядок повернення кредиту</v>
      </c>
      <c r="C26" s="253"/>
      <c r="D26" s="253"/>
      <c r="E26" s="253"/>
      <c r="F26" s="253"/>
      <c r="G26" s="253"/>
      <c r="H26" s="25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55" t="str">
        <f>Назви!F30</f>
        <v>Сума платежу за розрахунковий період, грн.</v>
      </c>
      <c r="H27" s="25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1">
        <f>-1*E3</f>
        <v>-200000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214">
        <v>1</v>
      </c>
      <c r="C29" s="211">
        <f ca="1">DATE(YEAR(C28),MONTH(C28)+1,DAY(C28))</f>
        <v>45892</v>
      </c>
      <c r="D29" s="207">
        <f>IFERROR(PPMT($F$9/12,B29,$F$15,-$E$17),0)</f>
        <v>14091.150249427068</v>
      </c>
      <c r="E29" s="194">
        <v>0</v>
      </c>
      <c r="F29" s="194">
        <f>IFERROR(IPMT($F$9/12,B29,$F$15,-$F$7),0)</f>
        <v>10264.833333333332</v>
      </c>
      <c r="G29" s="257">
        <f>SUM(D29:F29)</f>
        <v>24355.9835827604</v>
      </c>
      <c r="H29" s="258"/>
      <c r="I29" s="3"/>
      <c r="K29" s="162" t="e">
        <f>Лист2!#REF!</f>
        <v>#REF!</v>
      </c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45923</v>
      </c>
      <c r="D30" s="208">
        <f t="shared" ref="D30:D88" si="1">IFERROR(PPMT($F$9/12,B30,$F$15,-$E$17),0)</f>
        <v>14748.619834814919</v>
      </c>
      <c r="E30" s="196">
        <v>0</v>
      </c>
      <c r="F30" s="196">
        <f t="shared" ref="F30:F88" si="2">IFERROR(IPMT($F$9/12,B30,$F$15,-$F$7),0)</f>
        <v>9607.3637479454846</v>
      </c>
      <c r="G30" s="279">
        <f t="shared" ref="G30:G88" si="3">SUM(D30:F30)</f>
        <v>24355.983582760404</v>
      </c>
      <c r="H30" s="293"/>
      <c r="I30" s="3"/>
      <c r="K30" s="162" t="e">
        <f>Лист2!#REF!</f>
        <v>#REF!</v>
      </c>
    </row>
    <row r="31" spans="1:29" x14ac:dyDescent="0.2">
      <c r="A31" s="1">
        <v>3</v>
      </c>
      <c r="B31" s="215">
        <v>3</v>
      </c>
      <c r="C31" s="212">
        <f t="shared" ca="1" si="0"/>
        <v>45953</v>
      </c>
      <c r="D31" s="208">
        <f t="shared" si="1"/>
        <v>15436.765855274325</v>
      </c>
      <c r="E31" s="196">
        <v>0</v>
      </c>
      <c r="F31" s="196">
        <f t="shared" si="2"/>
        <v>8919.2177274860787</v>
      </c>
      <c r="G31" s="279">
        <f t="shared" si="3"/>
        <v>24355.983582760404</v>
      </c>
      <c r="H31" s="293"/>
      <c r="I31" s="3"/>
      <c r="K31" s="162" t="e">
        <f>Лист2!#REF!</f>
        <v>#REF!</v>
      </c>
    </row>
    <row r="32" spans="1:29" x14ac:dyDescent="0.2">
      <c r="A32" s="1">
        <v>4</v>
      </c>
      <c r="B32" s="215">
        <v>4</v>
      </c>
      <c r="C32" s="212">
        <f t="shared" ca="1" si="0"/>
        <v>45984</v>
      </c>
      <c r="D32" s="208">
        <f t="shared" si="1"/>
        <v>16157.019622138332</v>
      </c>
      <c r="E32" s="196">
        <v>0</v>
      </c>
      <c r="F32" s="196">
        <f t="shared" si="2"/>
        <v>8198.9639606220699</v>
      </c>
      <c r="G32" s="279">
        <f t="shared" si="3"/>
        <v>24355.983582760404</v>
      </c>
      <c r="H32" s="293"/>
      <c r="I32" s="3"/>
      <c r="K32" s="162" t="e">
        <f>Лист2!#REF!</f>
        <v>#REF!</v>
      </c>
    </row>
    <row r="33" spans="1:11" x14ac:dyDescent="0.2">
      <c r="A33" s="1">
        <v>5</v>
      </c>
      <c r="B33" s="215">
        <v>5</v>
      </c>
      <c r="C33" s="212">
        <f t="shared" ca="1" si="0"/>
        <v>46014</v>
      </c>
      <c r="D33" s="208">
        <f t="shared" si="1"/>
        <v>16910.87922934127</v>
      </c>
      <c r="E33" s="196">
        <v>0</v>
      </c>
      <c r="F33" s="196">
        <f t="shared" si="2"/>
        <v>7445.1043534191313</v>
      </c>
      <c r="G33" s="279">
        <f t="shared" si="3"/>
        <v>24355.9835827604</v>
      </c>
      <c r="H33" s="293"/>
      <c r="I33" s="3"/>
      <c r="K33" s="162" t="e">
        <f>Лист2!#REF!</f>
        <v>#REF!</v>
      </c>
    </row>
    <row r="34" spans="1:11" x14ac:dyDescent="0.2">
      <c r="A34" s="1">
        <v>6</v>
      </c>
      <c r="B34" s="215">
        <v>6</v>
      </c>
      <c r="C34" s="212">
        <f t="shared" ca="1" si="0"/>
        <v>46045</v>
      </c>
      <c r="D34" s="208">
        <f t="shared" si="1"/>
        <v>17699.912669383619</v>
      </c>
      <c r="E34" s="196">
        <v>0</v>
      </c>
      <c r="F34" s="196">
        <f t="shared" si="2"/>
        <v>6656.0709133767823</v>
      </c>
      <c r="G34" s="279">
        <f t="shared" si="3"/>
        <v>24355.9835827604</v>
      </c>
      <c r="H34" s="293"/>
      <c r="I34" s="3"/>
      <c r="K34" s="162" t="e">
        <f>Лист2!#REF!</f>
        <v>#REF!</v>
      </c>
    </row>
    <row r="35" spans="1:11" x14ac:dyDescent="0.2">
      <c r="A35" s="1">
        <v>7</v>
      </c>
      <c r="B35" s="215">
        <v>7</v>
      </c>
      <c r="C35" s="212">
        <f t="shared" ca="1" si="0"/>
        <v>46076</v>
      </c>
      <c r="D35" s="208">
        <f t="shared" si="1"/>
        <v>18525.76109468261</v>
      </c>
      <c r="E35" s="196">
        <v>0</v>
      </c>
      <c r="F35" s="196">
        <f t="shared" si="2"/>
        <v>5830.2224880777921</v>
      </c>
      <c r="G35" s="279">
        <f t="shared" si="3"/>
        <v>24355.983582760404</v>
      </c>
      <c r="H35" s="293"/>
      <c r="I35" s="3"/>
      <c r="K35" s="162" t="e">
        <f>Лист2!#REF!</f>
        <v>#REF!</v>
      </c>
    </row>
    <row r="36" spans="1:11" x14ac:dyDescent="0.2">
      <c r="A36" s="1">
        <v>8</v>
      </c>
      <c r="B36" s="215">
        <v>8</v>
      </c>
      <c r="C36" s="212">
        <f t="shared" ca="1" si="0"/>
        <v>46104</v>
      </c>
      <c r="D36" s="208">
        <f t="shared" si="1"/>
        <v>19390.14223109201</v>
      </c>
      <c r="E36" s="196">
        <v>0</v>
      </c>
      <c r="F36" s="196">
        <f t="shared" si="2"/>
        <v>4965.8413516683931</v>
      </c>
      <c r="G36" s="279">
        <f t="shared" si="3"/>
        <v>24355.983582760404</v>
      </c>
      <c r="H36" s="293"/>
      <c r="I36" s="3"/>
      <c r="K36" s="162" t="e">
        <f>Лист2!#REF!</f>
        <v>#REF!</v>
      </c>
    </row>
    <row r="37" spans="1:11" x14ac:dyDescent="0.2">
      <c r="A37" s="1">
        <v>9</v>
      </c>
      <c r="B37" s="215">
        <v>9</v>
      </c>
      <c r="C37" s="212">
        <f t="shared" ca="1" si="0"/>
        <v>46135</v>
      </c>
      <c r="D37" s="208">
        <f t="shared" si="1"/>
        <v>20294.853950691046</v>
      </c>
      <c r="E37" s="196">
        <v>0</v>
      </c>
      <c r="F37" s="196">
        <f t="shared" si="2"/>
        <v>4061.1296320693586</v>
      </c>
      <c r="G37" s="279">
        <f t="shared" si="3"/>
        <v>24355.983582760404</v>
      </c>
      <c r="H37" s="293"/>
      <c r="I37" s="3"/>
      <c r="K37" s="162" t="e">
        <f>Лист2!#REF!</f>
        <v>#REF!</v>
      </c>
    </row>
    <row r="38" spans="1:11" x14ac:dyDescent="0.2">
      <c r="A38" s="1">
        <v>10</v>
      </c>
      <c r="B38" s="215">
        <v>10</v>
      </c>
      <c r="C38" s="212">
        <f t="shared" ca="1" si="0"/>
        <v>46165</v>
      </c>
      <c r="D38" s="208">
        <f t="shared" si="1"/>
        <v>21241.778011273705</v>
      </c>
      <c r="E38" s="196">
        <v>0</v>
      </c>
      <c r="F38" s="196">
        <f t="shared" si="2"/>
        <v>3114.2055714866983</v>
      </c>
      <c r="G38" s="279">
        <f t="shared" si="3"/>
        <v>24355.983582760404</v>
      </c>
      <c r="H38" s="293"/>
      <c r="I38" s="3"/>
      <c r="K38" s="162" t="e">
        <f>Лист2!#REF!</f>
        <v>#REF!</v>
      </c>
    </row>
    <row r="39" spans="1:11" x14ac:dyDescent="0.2">
      <c r="A39" s="1">
        <v>22</v>
      </c>
      <c r="B39" s="215">
        <v>11</v>
      </c>
      <c r="C39" s="212">
        <f t="shared" ca="1" si="0"/>
        <v>46196</v>
      </c>
      <c r="D39" s="208">
        <f t="shared" si="1"/>
        <v>22232.883970316383</v>
      </c>
      <c r="E39" s="196">
        <v>0</v>
      </c>
      <c r="F39" s="196">
        <f t="shared" si="2"/>
        <v>2123.0996124440194</v>
      </c>
      <c r="G39" s="279">
        <f t="shared" si="3"/>
        <v>24355.983582760404</v>
      </c>
      <c r="H39" s="293"/>
      <c r="I39" s="3"/>
      <c r="K39" s="162" t="e">
        <f>Лист2!#REF!</f>
        <v>#REF!</v>
      </c>
    </row>
    <row r="40" spans="1:11" x14ac:dyDescent="0.2">
      <c r="A40" s="1">
        <v>22</v>
      </c>
      <c r="B40" s="215">
        <v>12</v>
      </c>
      <c r="C40" s="212">
        <f t="shared" ca="1" si="0"/>
        <v>46226</v>
      </c>
      <c r="D40" s="208">
        <f t="shared" si="1"/>
        <v>23270.233281564728</v>
      </c>
      <c r="E40" s="196">
        <v>0</v>
      </c>
      <c r="F40" s="196">
        <f t="shared" si="2"/>
        <v>1085.7503011956744</v>
      </c>
      <c r="G40" s="279">
        <f t="shared" si="3"/>
        <v>24355.983582760404</v>
      </c>
      <c r="H40" s="293"/>
      <c r="I40" s="3"/>
      <c r="K40" s="162" t="e">
        <f>Лист2!#REF!</f>
        <v>#REF!</v>
      </c>
    </row>
    <row r="41" spans="1:11" x14ac:dyDescent="0.2">
      <c r="A41" s="1">
        <v>13</v>
      </c>
      <c r="B41" s="215">
        <v>13</v>
      </c>
      <c r="C41" s="212">
        <f t="shared" ca="1" si="0"/>
        <v>46257</v>
      </c>
      <c r="D41" s="208">
        <f t="shared" si="1"/>
        <v>0</v>
      </c>
      <c r="E41" s="196">
        <v>0</v>
      </c>
      <c r="F41" s="196">
        <f t="shared" si="2"/>
        <v>0</v>
      </c>
      <c r="G41" s="279">
        <f t="shared" si="3"/>
        <v>0</v>
      </c>
      <c r="H41" s="293"/>
      <c r="I41" s="3"/>
      <c r="K41" s="162" t="e">
        <f>Лист2!#REF!</f>
        <v>#REF!</v>
      </c>
    </row>
    <row r="42" spans="1:11" x14ac:dyDescent="0.2">
      <c r="A42" s="1">
        <v>14</v>
      </c>
      <c r="B42" s="215">
        <v>14</v>
      </c>
      <c r="C42" s="212">
        <f t="shared" ca="1" si="0"/>
        <v>46288</v>
      </c>
      <c r="D42" s="208">
        <f t="shared" si="1"/>
        <v>0</v>
      </c>
      <c r="E42" s="196">
        <v>0</v>
      </c>
      <c r="F42" s="196">
        <f t="shared" si="2"/>
        <v>0</v>
      </c>
      <c r="G42" s="279">
        <f t="shared" si="3"/>
        <v>0</v>
      </c>
      <c r="H42" s="293"/>
      <c r="I42" s="3"/>
      <c r="K42" s="162" t="e">
        <f>Лист2!#REF!</f>
        <v>#REF!</v>
      </c>
    </row>
    <row r="43" spans="1:11" x14ac:dyDescent="0.2">
      <c r="A43" s="1">
        <v>15</v>
      </c>
      <c r="B43" s="215">
        <v>15</v>
      </c>
      <c r="C43" s="212">
        <f t="shared" ca="1" si="0"/>
        <v>46318</v>
      </c>
      <c r="D43" s="208">
        <f t="shared" si="1"/>
        <v>0</v>
      </c>
      <c r="E43" s="196">
        <v>0</v>
      </c>
      <c r="F43" s="196">
        <f t="shared" si="2"/>
        <v>0</v>
      </c>
      <c r="G43" s="279">
        <f t="shared" si="3"/>
        <v>0</v>
      </c>
      <c r="H43" s="293"/>
      <c r="I43" s="3"/>
      <c r="K43" s="162" t="e">
        <f>Лист2!#REF!</f>
        <v>#REF!</v>
      </c>
    </row>
    <row r="44" spans="1:11" x14ac:dyDescent="0.2">
      <c r="A44" s="1">
        <v>16</v>
      </c>
      <c r="B44" s="215">
        <v>16</v>
      </c>
      <c r="C44" s="212">
        <f t="shared" ca="1" si="0"/>
        <v>46349</v>
      </c>
      <c r="D44" s="208">
        <f t="shared" si="1"/>
        <v>0</v>
      </c>
      <c r="E44" s="196">
        <v>0</v>
      </c>
      <c r="F44" s="196">
        <f t="shared" si="2"/>
        <v>0</v>
      </c>
      <c r="G44" s="279">
        <f t="shared" si="3"/>
        <v>0</v>
      </c>
      <c r="H44" s="293"/>
      <c r="I44" s="3"/>
      <c r="K44" s="162" t="e">
        <f>Лист2!#REF!</f>
        <v>#REF!</v>
      </c>
    </row>
    <row r="45" spans="1:11" x14ac:dyDescent="0.2">
      <c r="A45" s="1">
        <v>22</v>
      </c>
      <c r="B45" s="215">
        <v>17</v>
      </c>
      <c r="C45" s="212">
        <f t="shared" ca="1" si="0"/>
        <v>46379</v>
      </c>
      <c r="D45" s="208">
        <f t="shared" si="1"/>
        <v>0</v>
      </c>
      <c r="E45" s="196">
        <v>0</v>
      </c>
      <c r="F45" s="196">
        <f t="shared" si="2"/>
        <v>0</v>
      </c>
      <c r="G45" s="279">
        <f t="shared" si="3"/>
        <v>0</v>
      </c>
      <c r="H45" s="293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46410</v>
      </c>
      <c r="D46" s="208">
        <f t="shared" si="1"/>
        <v>0</v>
      </c>
      <c r="E46" s="196">
        <v>0</v>
      </c>
      <c r="F46" s="196">
        <f t="shared" si="2"/>
        <v>0</v>
      </c>
      <c r="G46" s="279">
        <f t="shared" si="3"/>
        <v>0</v>
      </c>
      <c r="H46" s="293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46441</v>
      </c>
      <c r="D47" s="208">
        <f t="shared" si="1"/>
        <v>0</v>
      </c>
      <c r="E47" s="196">
        <v>0</v>
      </c>
      <c r="F47" s="196">
        <f t="shared" si="2"/>
        <v>0</v>
      </c>
      <c r="G47" s="279">
        <f t="shared" si="3"/>
        <v>0</v>
      </c>
      <c r="H47" s="293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46469</v>
      </c>
      <c r="D48" s="208">
        <f t="shared" si="1"/>
        <v>0</v>
      </c>
      <c r="E48" s="196">
        <v>0</v>
      </c>
      <c r="F48" s="196">
        <f t="shared" si="2"/>
        <v>0</v>
      </c>
      <c r="G48" s="279">
        <f t="shared" si="3"/>
        <v>0</v>
      </c>
      <c r="H48" s="293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46500</v>
      </c>
      <c r="D49" s="208">
        <f t="shared" si="1"/>
        <v>0</v>
      </c>
      <c r="E49" s="196">
        <v>0</v>
      </c>
      <c r="F49" s="196">
        <f t="shared" si="2"/>
        <v>0</v>
      </c>
      <c r="G49" s="279">
        <f t="shared" si="3"/>
        <v>0</v>
      </c>
      <c r="H49" s="293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46530</v>
      </c>
      <c r="D50" s="208">
        <f t="shared" si="1"/>
        <v>0</v>
      </c>
      <c r="E50" s="196">
        <v>0</v>
      </c>
      <c r="F50" s="196">
        <f t="shared" si="2"/>
        <v>0</v>
      </c>
      <c r="G50" s="279">
        <f t="shared" si="3"/>
        <v>0</v>
      </c>
      <c r="H50" s="293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46561</v>
      </c>
      <c r="D51" s="208">
        <f t="shared" si="1"/>
        <v>0</v>
      </c>
      <c r="E51" s="196">
        <v>0</v>
      </c>
      <c r="F51" s="196">
        <f t="shared" si="2"/>
        <v>0</v>
      </c>
      <c r="G51" s="279">
        <f t="shared" si="3"/>
        <v>0</v>
      </c>
      <c r="H51" s="293"/>
      <c r="I51" s="3"/>
    </row>
    <row r="52" spans="1:11" x14ac:dyDescent="0.2">
      <c r="A52" s="60"/>
      <c r="B52" s="215">
        <v>24</v>
      </c>
      <c r="C52" s="212">
        <f t="shared" ca="1" si="0"/>
        <v>46591</v>
      </c>
      <c r="D52" s="208">
        <f t="shared" si="1"/>
        <v>0</v>
      </c>
      <c r="E52" s="196">
        <v>0</v>
      </c>
      <c r="F52" s="196">
        <f t="shared" si="2"/>
        <v>0</v>
      </c>
      <c r="G52" s="279">
        <f t="shared" si="3"/>
        <v>0</v>
      </c>
      <c r="H52" s="293"/>
      <c r="I52" s="3"/>
    </row>
    <row r="53" spans="1:11" x14ac:dyDescent="0.2">
      <c r="A53" s="60"/>
      <c r="B53" s="215">
        <v>25</v>
      </c>
      <c r="C53" s="212">
        <f t="shared" ca="1" si="0"/>
        <v>46622</v>
      </c>
      <c r="D53" s="208">
        <f t="shared" si="1"/>
        <v>0</v>
      </c>
      <c r="E53" s="196">
        <v>0</v>
      </c>
      <c r="F53" s="196">
        <f t="shared" si="2"/>
        <v>0</v>
      </c>
      <c r="G53" s="279">
        <f t="shared" si="3"/>
        <v>0</v>
      </c>
      <c r="H53" s="293"/>
      <c r="I53" s="3"/>
    </row>
    <row r="54" spans="1:11" x14ac:dyDescent="0.2">
      <c r="A54" s="60"/>
      <c r="B54" s="215">
        <v>26</v>
      </c>
      <c r="C54" s="212">
        <f t="shared" ca="1" si="0"/>
        <v>46653</v>
      </c>
      <c r="D54" s="208">
        <f t="shared" si="1"/>
        <v>0</v>
      </c>
      <c r="E54" s="196">
        <v>0</v>
      </c>
      <c r="F54" s="196">
        <f t="shared" si="2"/>
        <v>0</v>
      </c>
      <c r="G54" s="279">
        <f t="shared" si="3"/>
        <v>0</v>
      </c>
      <c r="H54" s="293"/>
      <c r="I54" s="3"/>
    </row>
    <row r="55" spans="1:11" x14ac:dyDescent="0.2">
      <c r="A55" s="60"/>
      <c r="B55" s="215">
        <v>27</v>
      </c>
      <c r="C55" s="212">
        <f t="shared" ca="1" si="0"/>
        <v>46683</v>
      </c>
      <c r="D55" s="208">
        <f t="shared" si="1"/>
        <v>0</v>
      </c>
      <c r="E55" s="196">
        <v>0</v>
      </c>
      <c r="F55" s="196">
        <f t="shared" si="2"/>
        <v>0</v>
      </c>
      <c r="G55" s="279">
        <f t="shared" si="3"/>
        <v>0</v>
      </c>
      <c r="H55" s="293"/>
      <c r="I55" s="3"/>
    </row>
    <row r="56" spans="1:11" x14ac:dyDescent="0.2">
      <c r="A56" s="60"/>
      <c r="B56" s="215">
        <v>28</v>
      </c>
      <c r="C56" s="212">
        <f t="shared" ca="1" si="0"/>
        <v>46714</v>
      </c>
      <c r="D56" s="208">
        <f t="shared" si="1"/>
        <v>0</v>
      </c>
      <c r="E56" s="196">
        <v>0</v>
      </c>
      <c r="F56" s="196">
        <f t="shared" si="2"/>
        <v>0</v>
      </c>
      <c r="G56" s="279">
        <f t="shared" si="3"/>
        <v>0</v>
      </c>
      <c r="H56" s="293"/>
      <c r="I56" s="3"/>
    </row>
    <row r="57" spans="1:11" x14ac:dyDescent="0.2">
      <c r="A57" s="60"/>
      <c r="B57" s="215">
        <v>29</v>
      </c>
      <c r="C57" s="212">
        <f t="shared" ca="1" si="0"/>
        <v>46744</v>
      </c>
      <c r="D57" s="208">
        <f t="shared" si="1"/>
        <v>0</v>
      </c>
      <c r="E57" s="196">
        <v>0</v>
      </c>
      <c r="F57" s="196">
        <f t="shared" si="2"/>
        <v>0</v>
      </c>
      <c r="G57" s="279">
        <f t="shared" si="3"/>
        <v>0</v>
      </c>
      <c r="H57" s="293"/>
      <c r="I57" s="3"/>
    </row>
    <row r="58" spans="1:11" x14ac:dyDescent="0.2">
      <c r="A58" s="60">
        <v>25</v>
      </c>
      <c r="B58" s="215">
        <v>30</v>
      </c>
      <c r="C58" s="212">
        <f t="shared" ca="1" si="0"/>
        <v>46775</v>
      </c>
      <c r="D58" s="208">
        <f t="shared" si="1"/>
        <v>0</v>
      </c>
      <c r="E58" s="196">
        <v>0</v>
      </c>
      <c r="F58" s="196">
        <f t="shared" si="2"/>
        <v>0</v>
      </c>
      <c r="G58" s="279">
        <f t="shared" si="3"/>
        <v>0</v>
      </c>
      <c r="H58" s="293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46806</v>
      </c>
      <c r="D59" s="208">
        <f t="shared" si="1"/>
        <v>0</v>
      </c>
      <c r="E59" s="196">
        <v>0</v>
      </c>
      <c r="F59" s="196">
        <f t="shared" si="2"/>
        <v>0</v>
      </c>
      <c r="G59" s="279">
        <f t="shared" si="3"/>
        <v>0</v>
      </c>
      <c r="H59" s="293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46835</v>
      </c>
      <c r="D60" s="208">
        <f t="shared" si="1"/>
        <v>0</v>
      </c>
      <c r="E60" s="196">
        <v>0</v>
      </c>
      <c r="F60" s="196">
        <f t="shared" si="2"/>
        <v>0</v>
      </c>
      <c r="G60" s="279">
        <f t="shared" si="3"/>
        <v>0</v>
      </c>
      <c r="H60" s="293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46866</v>
      </c>
      <c r="D61" s="208">
        <f t="shared" si="1"/>
        <v>0</v>
      </c>
      <c r="E61" s="196">
        <v>0</v>
      </c>
      <c r="F61" s="196">
        <f t="shared" si="2"/>
        <v>0</v>
      </c>
      <c r="G61" s="279">
        <f t="shared" si="3"/>
        <v>0</v>
      </c>
      <c r="H61" s="293"/>
      <c r="I61" s="134"/>
      <c r="J61" s="134"/>
    </row>
    <row r="62" spans="1:11" x14ac:dyDescent="0.2">
      <c r="A62" s="60"/>
      <c r="B62" s="215">
        <v>34</v>
      </c>
      <c r="C62" s="212">
        <f t="shared" ca="1" si="0"/>
        <v>46896</v>
      </c>
      <c r="D62" s="208">
        <f t="shared" si="1"/>
        <v>0</v>
      </c>
      <c r="E62" s="196">
        <v>0</v>
      </c>
      <c r="F62" s="196">
        <f t="shared" si="2"/>
        <v>0</v>
      </c>
      <c r="G62" s="279">
        <f t="shared" si="3"/>
        <v>0</v>
      </c>
      <c r="H62" s="293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46927</v>
      </c>
      <c r="D63" s="208">
        <f t="shared" si="1"/>
        <v>0</v>
      </c>
      <c r="E63" s="196">
        <v>0</v>
      </c>
      <c r="F63" s="196">
        <f t="shared" si="2"/>
        <v>0</v>
      </c>
      <c r="G63" s="279">
        <f t="shared" si="3"/>
        <v>0</v>
      </c>
      <c r="H63" s="293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46957</v>
      </c>
      <c r="D64" s="208">
        <f t="shared" si="1"/>
        <v>0</v>
      </c>
      <c r="E64" s="196">
        <v>0</v>
      </c>
      <c r="F64" s="196">
        <f t="shared" si="2"/>
        <v>0</v>
      </c>
      <c r="G64" s="279">
        <f t="shared" si="3"/>
        <v>0</v>
      </c>
      <c r="H64" s="293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46988</v>
      </c>
      <c r="D65" s="208">
        <f t="shared" si="1"/>
        <v>0</v>
      </c>
      <c r="E65" s="196">
        <v>0</v>
      </c>
      <c r="F65" s="196">
        <f t="shared" si="2"/>
        <v>0</v>
      </c>
      <c r="G65" s="279">
        <f t="shared" si="3"/>
        <v>0</v>
      </c>
      <c r="H65" s="293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47019</v>
      </c>
      <c r="D66" s="208">
        <f t="shared" si="1"/>
        <v>0</v>
      </c>
      <c r="E66" s="196">
        <v>0</v>
      </c>
      <c r="F66" s="196">
        <f t="shared" si="2"/>
        <v>0</v>
      </c>
      <c r="G66" s="279">
        <f t="shared" si="3"/>
        <v>0</v>
      </c>
      <c r="H66" s="293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47049</v>
      </c>
      <c r="D67" s="208">
        <f t="shared" si="1"/>
        <v>0</v>
      </c>
      <c r="E67" s="196">
        <v>0</v>
      </c>
      <c r="F67" s="196">
        <f t="shared" si="2"/>
        <v>0</v>
      </c>
      <c r="G67" s="279">
        <f t="shared" si="3"/>
        <v>0</v>
      </c>
      <c r="H67" s="293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47080</v>
      </c>
      <c r="D68" s="208">
        <f t="shared" si="1"/>
        <v>0</v>
      </c>
      <c r="E68" s="196">
        <v>0</v>
      </c>
      <c r="F68" s="196">
        <f t="shared" si="2"/>
        <v>0</v>
      </c>
      <c r="G68" s="279">
        <f t="shared" si="3"/>
        <v>0</v>
      </c>
      <c r="H68" s="293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47110</v>
      </c>
      <c r="D69" s="208">
        <f t="shared" si="1"/>
        <v>0</v>
      </c>
      <c r="E69" s="196">
        <v>0</v>
      </c>
      <c r="F69" s="196">
        <f t="shared" si="2"/>
        <v>0</v>
      </c>
      <c r="G69" s="279">
        <f t="shared" si="3"/>
        <v>0</v>
      </c>
      <c r="H69" s="293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47141</v>
      </c>
      <c r="D70" s="208">
        <f t="shared" si="1"/>
        <v>0</v>
      </c>
      <c r="E70" s="196">
        <v>0</v>
      </c>
      <c r="F70" s="196">
        <f t="shared" si="2"/>
        <v>0</v>
      </c>
      <c r="G70" s="279">
        <f t="shared" si="3"/>
        <v>0</v>
      </c>
      <c r="H70" s="293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47172</v>
      </c>
      <c r="D71" s="208">
        <f t="shared" si="1"/>
        <v>0</v>
      </c>
      <c r="E71" s="196">
        <v>0</v>
      </c>
      <c r="F71" s="196">
        <f t="shared" si="2"/>
        <v>0</v>
      </c>
      <c r="G71" s="279">
        <f t="shared" si="3"/>
        <v>0</v>
      </c>
      <c r="H71" s="293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47200</v>
      </c>
      <c r="D72" s="208">
        <f t="shared" si="1"/>
        <v>0</v>
      </c>
      <c r="E72" s="196">
        <v>0</v>
      </c>
      <c r="F72" s="196">
        <f t="shared" si="2"/>
        <v>0</v>
      </c>
      <c r="G72" s="279">
        <f t="shared" si="3"/>
        <v>0</v>
      </c>
      <c r="H72" s="293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47231</v>
      </c>
      <c r="D73" s="208">
        <f t="shared" si="1"/>
        <v>0</v>
      </c>
      <c r="E73" s="196">
        <v>0</v>
      </c>
      <c r="F73" s="196">
        <f t="shared" si="2"/>
        <v>0</v>
      </c>
      <c r="G73" s="279">
        <f t="shared" si="3"/>
        <v>0</v>
      </c>
      <c r="H73" s="293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47261</v>
      </c>
      <c r="D74" s="208">
        <f t="shared" si="1"/>
        <v>0</v>
      </c>
      <c r="E74" s="196">
        <v>0</v>
      </c>
      <c r="F74" s="196">
        <f t="shared" si="2"/>
        <v>0</v>
      </c>
      <c r="G74" s="279">
        <f t="shared" si="3"/>
        <v>0</v>
      </c>
      <c r="H74" s="293"/>
      <c r="I74" s="134"/>
      <c r="J74" s="134"/>
    </row>
    <row r="75" spans="1:10" x14ac:dyDescent="0.2">
      <c r="A75" s="60"/>
      <c r="B75" s="215">
        <v>47</v>
      </c>
      <c r="C75" s="212">
        <f t="shared" ca="1" si="0"/>
        <v>47292</v>
      </c>
      <c r="D75" s="208">
        <f t="shared" si="1"/>
        <v>0</v>
      </c>
      <c r="E75" s="196">
        <v>0</v>
      </c>
      <c r="F75" s="196">
        <f t="shared" si="2"/>
        <v>0</v>
      </c>
      <c r="G75" s="279">
        <f t="shared" si="3"/>
        <v>0</v>
      </c>
      <c r="H75" s="293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47322</v>
      </c>
      <c r="D76" s="208">
        <f t="shared" si="1"/>
        <v>0</v>
      </c>
      <c r="E76" s="196">
        <v>0</v>
      </c>
      <c r="F76" s="196">
        <f t="shared" si="2"/>
        <v>0</v>
      </c>
      <c r="G76" s="279">
        <f t="shared" si="3"/>
        <v>0</v>
      </c>
      <c r="H76" s="293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47353</v>
      </c>
      <c r="D77" s="208">
        <f t="shared" si="1"/>
        <v>0</v>
      </c>
      <c r="E77" s="196">
        <v>0</v>
      </c>
      <c r="F77" s="196">
        <f t="shared" si="2"/>
        <v>0</v>
      </c>
      <c r="G77" s="279">
        <f t="shared" si="3"/>
        <v>0</v>
      </c>
      <c r="H77" s="293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47384</v>
      </c>
      <c r="D78" s="208">
        <f t="shared" si="1"/>
        <v>0</v>
      </c>
      <c r="E78" s="196">
        <v>0</v>
      </c>
      <c r="F78" s="196">
        <f t="shared" si="2"/>
        <v>0</v>
      </c>
      <c r="G78" s="279">
        <f t="shared" si="3"/>
        <v>0</v>
      </c>
      <c r="H78" s="293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47414</v>
      </c>
      <c r="D79" s="208">
        <f t="shared" si="1"/>
        <v>0</v>
      </c>
      <c r="E79" s="196">
        <v>0</v>
      </c>
      <c r="F79" s="196">
        <f t="shared" si="2"/>
        <v>0</v>
      </c>
      <c r="G79" s="279">
        <f t="shared" si="3"/>
        <v>0</v>
      </c>
      <c r="H79" s="293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47445</v>
      </c>
      <c r="D80" s="208">
        <f t="shared" si="1"/>
        <v>0</v>
      </c>
      <c r="E80" s="196">
        <v>0</v>
      </c>
      <c r="F80" s="196">
        <f t="shared" si="2"/>
        <v>0</v>
      </c>
      <c r="G80" s="279">
        <f t="shared" si="3"/>
        <v>0</v>
      </c>
      <c r="H80" s="293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47475</v>
      </c>
      <c r="D81" s="208">
        <f t="shared" si="1"/>
        <v>0</v>
      </c>
      <c r="E81" s="196">
        <v>0</v>
      </c>
      <c r="F81" s="196">
        <f t="shared" si="2"/>
        <v>0</v>
      </c>
      <c r="G81" s="279">
        <f t="shared" si="3"/>
        <v>0</v>
      </c>
      <c r="H81" s="293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47506</v>
      </c>
      <c r="D82" s="208">
        <f t="shared" si="1"/>
        <v>0</v>
      </c>
      <c r="E82" s="196">
        <v>0</v>
      </c>
      <c r="F82" s="196">
        <f t="shared" si="2"/>
        <v>0</v>
      </c>
      <c r="G82" s="279">
        <f t="shared" si="3"/>
        <v>0</v>
      </c>
      <c r="H82" s="293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47537</v>
      </c>
      <c r="D83" s="208">
        <f t="shared" si="1"/>
        <v>0</v>
      </c>
      <c r="E83" s="196">
        <v>0</v>
      </c>
      <c r="F83" s="196">
        <f t="shared" si="2"/>
        <v>0</v>
      </c>
      <c r="G83" s="279">
        <f t="shared" si="3"/>
        <v>0</v>
      </c>
      <c r="H83" s="293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47565</v>
      </c>
      <c r="D84" s="208">
        <f t="shared" si="1"/>
        <v>0</v>
      </c>
      <c r="E84" s="196">
        <v>0</v>
      </c>
      <c r="F84" s="196">
        <f t="shared" si="2"/>
        <v>0</v>
      </c>
      <c r="G84" s="279">
        <f t="shared" si="3"/>
        <v>0</v>
      </c>
      <c r="H84" s="293"/>
      <c r="I84" s="134"/>
      <c r="J84" s="134"/>
    </row>
    <row r="85" spans="1:10" x14ac:dyDescent="0.2">
      <c r="A85" s="60"/>
      <c r="B85" s="215">
        <v>57</v>
      </c>
      <c r="C85" s="212">
        <f t="shared" ca="1" si="0"/>
        <v>47596</v>
      </c>
      <c r="D85" s="208">
        <f t="shared" si="1"/>
        <v>0</v>
      </c>
      <c r="E85" s="196">
        <v>0</v>
      </c>
      <c r="F85" s="196">
        <f t="shared" si="2"/>
        <v>0</v>
      </c>
      <c r="G85" s="279">
        <f t="shared" si="3"/>
        <v>0</v>
      </c>
      <c r="H85" s="293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47626</v>
      </c>
      <c r="D86" s="208">
        <f t="shared" si="1"/>
        <v>0</v>
      </c>
      <c r="E86" s="196">
        <v>0</v>
      </c>
      <c r="F86" s="196">
        <f t="shared" si="2"/>
        <v>0</v>
      </c>
      <c r="G86" s="279">
        <f t="shared" si="3"/>
        <v>0</v>
      </c>
      <c r="H86" s="293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47657</v>
      </c>
      <c r="D87" s="208">
        <f t="shared" si="1"/>
        <v>0</v>
      </c>
      <c r="E87" s="196">
        <v>0</v>
      </c>
      <c r="F87" s="196">
        <f t="shared" si="2"/>
        <v>0</v>
      </c>
      <c r="G87" s="279">
        <f t="shared" si="3"/>
        <v>0</v>
      </c>
      <c r="H87" s="293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47687</v>
      </c>
      <c r="D88" s="209">
        <f t="shared" si="1"/>
        <v>0</v>
      </c>
      <c r="E88" s="210">
        <v>0</v>
      </c>
      <c r="F88" s="210">
        <f t="shared" si="2"/>
        <v>0</v>
      </c>
      <c r="G88" s="294">
        <f t="shared" si="3"/>
        <v>0</v>
      </c>
      <c r="H88" s="295"/>
      <c r="I88" s="134"/>
      <c r="J88" s="134"/>
    </row>
    <row r="89" spans="1:10" ht="16.5" thickBot="1" x14ac:dyDescent="0.25">
      <c r="A89" s="60"/>
      <c r="B89" s="241" t="s">
        <v>3</v>
      </c>
      <c r="C89" s="276"/>
      <c r="D89" s="206">
        <f>SUM(D29:D88)</f>
        <v>220000</v>
      </c>
      <c r="E89" s="206">
        <f>SUM(E29:E88)</f>
        <v>0</v>
      </c>
      <c r="F89" s="206">
        <f>SUM(F29:F88)</f>
        <v>72271.802993124817</v>
      </c>
      <c r="G89" s="291">
        <f>SUM(G29:H88)</f>
        <v>292271.80299312482</v>
      </c>
      <c r="H89" s="292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45" t="s">
        <v>5</v>
      </c>
      <c r="F91" s="245"/>
      <c r="G91" s="245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5Rd8OIGP4JV2RHa9u43Eqb8g1AXIfT1w7WCkP9e2rdmGvQ+rAhdQWXJC6naw6MQKxBq6ZwqHinzNA4/n2zQVrw==" saltValue="cdjekHxD49Z1elAtr0Lgig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500-000000000000}">
      <formula1>$K$16:$K$19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00B0F0"/>
    <pageSetUpPr fitToPage="1"/>
  </sheetPr>
  <dimension ref="A1:AC98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87" t="s">
        <v>80</v>
      </c>
      <c r="I1" s="287"/>
    </row>
    <row r="2" spans="1:14" ht="12.75" customHeight="1" x14ac:dyDescent="0.2">
      <c r="A2" s="2"/>
      <c r="B2" s="61"/>
      <c r="C2" s="61"/>
      <c r="D2" s="61"/>
      <c r="E2" s="139">
        <f>VLOOKUP('Цільовий СК_-10%'!H2,Лист2!A:O,14,FALSE)</f>
        <v>0</v>
      </c>
      <c r="F2" s="126">
        <f>VLOOKUP(H$2,Лист2!$A:$H,2,0)</f>
        <v>454545.46</v>
      </c>
      <c r="G2" s="185">
        <f ca="1">TODAY()</f>
        <v>45861</v>
      </c>
      <c r="H2" s="261" t="s">
        <v>95</v>
      </c>
      <c r="I2" s="262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>
        <f>IF(F5&lt;E2,"x",IF(F5&gt;F2,"y",F5))</f>
        <v>200000</v>
      </c>
      <c r="F3" s="263" t="str">
        <f>IF(E3="x","Збільшіть суму",IF(E3="y","Зменшіть суму",""))</f>
        <v/>
      </c>
      <c r="G3" s="77">
        <f>Назви!B35</f>
        <v>30.4</v>
      </c>
      <c r="H3" s="265" t="str">
        <f>VLOOKUP(H$2,Лист2!$A:$H,8,0)</f>
        <v>max. 454545,46 грн.</v>
      </c>
      <c r="I3" s="266"/>
      <c r="J3" s="50"/>
    </row>
    <row r="4" spans="1:14" ht="9" customHeight="1" thickBot="1" x14ac:dyDescent="0.25">
      <c r="A4" s="2"/>
      <c r="B4" s="2"/>
      <c r="C4" s="2"/>
      <c r="D4" s="2"/>
      <c r="E4" s="139"/>
      <c r="F4" s="263"/>
      <c r="G4" s="42"/>
      <c r="H4" s="188"/>
      <c r="I4" s="50"/>
      <c r="J4" s="50"/>
      <c r="K4" s="69"/>
    </row>
    <row r="5" spans="1:14" ht="21" customHeight="1" thickBot="1" x14ac:dyDescent="0.25">
      <c r="A5" s="1"/>
      <c r="B5" s="288" t="s">
        <v>82</v>
      </c>
      <c r="C5" s="289"/>
      <c r="D5" s="289"/>
      <c r="E5" s="290"/>
      <c r="F5" s="205">
        <v>200000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70" t="s">
        <v>81</v>
      </c>
      <c r="C7" s="271"/>
      <c r="D7" s="271"/>
      <c r="E7" s="272"/>
      <c r="F7" s="13">
        <f>E19</f>
        <v>220000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>
        <f>F7-D31</f>
        <v>205908.84975057293</v>
      </c>
      <c r="G8" s="43"/>
      <c r="H8" s="42"/>
      <c r="I8" s="2"/>
      <c r="J8" s="52"/>
      <c r="K8" s="69"/>
    </row>
    <row r="9" spans="1:14" x14ac:dyDescent="0.2">
      <c r="A9" s="1"/>
      <c r="B9" s="270" t="str">
        <f>Назви!A3</f>
        <v>Процентна ставка базова, % річних</v>
      </c>
      <c r="C9" s="271">
        <f>Назви!B3</f>
        <v>0</v>
      </c>
      <c r="D9" s="271">
        <f>Назви!C3</f>
        <v>0</v>
      </c>
      <c r="E9" s="272">
        <f>Назви!D3</f>
        <v>0</v>
      </c>
      <c r="F9" s="38">
        <f>VLOOKUP(H$2,Лист2!$A:$H,4,0)</f>
        <v>0.55989999999999995</v>
      </c>
      <c r="G9" s="283"/>
      <c r="H9" s="283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70" t="str">
        <f>Назви!A5</f>
        <v>Процентна ставка знижена, % річних</v>
      </c>
      <c r="C11" s="271">
        <f>Назви!B7</f>
        <v>0</v>
      </c>
      <c r="D11" s="271">
        <f>Назви!C7</f>
        <v>0</v>
      </c>
      <c r="E11" s="272">
        <f>Назви!D7</f>
        <v>0</v>
      </c>
      <c r="F11" s="38">
        <f>VLOOKUP(H$2,Лист2!$A:$H,5,0)</f>
        <v>0.45989999999999998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70" t="str">
        <f>Назви!A7</f>
        <v>Разовий страховий тариф, %</v>
      </c>
      <c r="C13" s="271">
        <f>Назви!B7</f>
        <v>0</v>
      </c>
      <c r="D13" s="271">
        <f>Назви!C7</f>
        <v>0</v>
      </c>
      <c r="E13" s="272">
        <f>Назви!D7</f>
        <v>0</v>
      </c>
      <c r="F13" s="38">
        <f>VLOOKUP(H$2,Лист2!$A:$H,6,0)</f>
        <v>0.1</v>
      </c>
      <c r="G13" s="283"/>
      <c r="H13" s="283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70" t="str">
        <f>Назви!A9</f>
        <v xml:space="preserve">Щомісячна плата за обслуговування кредитної заборгованості, % </v>
      </c>
      <c r="C15" s="271">
        <f>Назви!B9</f>
        <v>0</v>
      </c>
      <c r="D15" s="271">
        <f>Назви!C9</f>
        <v>0</v>
      </c>
      <c r="E15" s="272">
        <f>Назви!D9</f>
        <v>0</v>
      </c>
      <c r="F15" s="38">
        <f>VLOOKUP(H$2,Лист2!$A:$H,7,0)</f>
        <v>0</v>
      </c>
      <c r="G15" s="283"/>
      <c r="H15" s="283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70" t="str">
        <f>Назви!A11</f>
        <v>Термін кредитування (міс.)</v>
      </c>
      <c r="C17" s="271">
        <f>Назви!B11</f>
        <v>0</v>
      </c>
      <c r="D17" s="271">
        <f>Назви!C11</f>
        <v>0</v>
      </c>
      <c r="E17" s="272">
        <f>Назви!D11</f>
        <v>0</v>
      </c>
      <c r="F17" s="64">
        <f>VLOOKUP(H$2,Лист2!$A:$H,3,0)</f>
        <v>12</v>
      </c>
      <c r="G17" s="283"/>
      <c r="H17" s="283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>
        <f>F5*F13</f>
        <v>20000</v>
      </c>
      <c r="F18" s="61"/>
      <c r="G18" s="120"/>
      <c r="H18" s="11"/>
      <c r="I18" s="1"/>
      <c r="J18" s="52"/>
      <c r="K18" s="162" t="str">
        <f>Лист2!A4</f>
        <v xml:space="preserve">Цільовий, 60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>
        <f>E18+E3</f>
        <v>220000</v>
      </c>
      <c r="F19" s="61"/>
      <c r="G19" s="120"/>
      <c r="H19" s="11"/>
      <c r="I19" s="1"/>
      <c r="J19" s="124"/>
      <c r="K19" s="162" t="str">
        <f>Лист2!A5</f>
        <v xml:space="preserve">Цільовий, 36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3" t="str">
        <f>Назви!A14</f>
        <v>Орієнтовний платіж, грн.</v>
      </c>
      <c r="C20" s="274">
        <f>Назви!B14</f>
        <v>0</v>
      </c>
      <c r="D20" s="274">
        <f>Назви!C14</f>
        <v>0</v>
      </c>
      <c r="E20" s="275">
        <f>Назви!D14</f>
        <v>0</v>
      </c>
      <c r="F20" s="13">
        <f>PMT(F9/12,F17,-E19)+F15*E19</f>
        <v>24355.983582760404</v>
      </c>
      <c r="G20" s="284"/>
      <c r="H20" s="285"/>
      <c r="I20" s="133"/>
      <c r="J20" s="52"/>
      <c r="K20" s="162" t="str">
        <f>Лист2!A6</f>
        <v xml:space="preserve">Цільовий, 24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3" t="str">
        <f>Назви!A16</f>
        <v>Орієнтовні загальні витрати за кредитом, грн.</v>
      </c>
      <c r="C22" s="274">
        <f>Назви!B16</f>
        <v>0</v>
      </c>
      <c r="D22" s="274">
        <f>Назви!C16</f>
        <v>0</v>
      </c>
      <c r="E22" s="275">
        <f>Назви!D16</f>
        <v>0</v>
      </c>
      <c r="F22" s="13">
        <f>F91-E3</f>
        <v>80572.957483369857</v>
      </c>
      <c r="G22" s="286"/>
      <c r="H22" s="286"/>
      <c r="I22" s="1"/>
      <c r="J22" s="53"/>
      <c r="K22" s="162">
        <f>Лист2!A8</f>
        <v>0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>
        <f>Лист2!A9</f>
        <v>0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3" t="str">
        <f>Назви!A18</f>
        <v>Орієнтовна загальна вартість кредиту, грн.</v>
      </c>
      <c r="C24" s="274">
        <f>Назви!B18</f>
        <v>0</v>
      </c>
      <c r="D24" s="274">
        <f>Назви!C18</f>
        <v>0</v>
      </c>
      <c r="E24" s="275">
        <f>Назви!D18</f>
        <v>0</v>
      </c>
      <c r="F24" s="13">
        <f>F7+F22</f>
        <v>300572.95748336986</v>
      </c>
      <c r="G24" s="283"/>
      <c r="H24" s="283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73" t="str">
        <f>Назви!A20</f>
        <v>Реальна річна процентна ставка, %</v>
      </c>
      <c r="C26" s="274"/>
      <c r="D26" s="274"/>
      <c r="E26" s="275"/>
      <c r="F26" s="38">
        <f ca="1">XIRR(F30:F90,C30:C90)</f>
        <v>0.93017722368240352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52" t="str">
        <f>Назви!A29</f>
        <v>Орієнтовний порядок повернення кредиту</v>
      </c>
      <c r="C28" s="253"/>
      <c r="D28" s="253"/>
      <c r="E28" s="253"/>
      <c r="F28" s="253"/>
      <c r="G28" s="254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55" t="str">
        <f>Назви!F30</f>
        <v>Сума платежу за розрахунковий період, грн.</v>
      </c>
      <c r="G29" s="256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187">
        <f ca="1">TODAY()</f>
        <v>45861</v>
      </c>
      <c r="D30" s="113"/>
      <c r="E30" s="113"/>
      <c r="F30" s="281">
        <f>-1*E3</f>
        <v>-200000</v>
      </c>
      <c r="G30" s="282"/>
      <c r="H30" s="3"/>
      <c r="I30" s="3"/>
      <c r="J30" s="162" t="e">
        <f>Лист2!#REF!</f>
        <v>#REF!</v>
      </c>
      <c r="K30" s="162"/>
      <c r="L30" s="122"/>
      <c r="AC30" s="4"/>
    </row>
    <row r="31" spans="1:29" ht="13.5" thickBot="1" x14ac:dyDescent="0.25">
      <c r="A31" s="1">
        <v>1</v>
      </c>
      <c r="B31" s="129">
        <v>1</v>
      </c>
      <c r="C31" s="136">
        <f ca="1">DATE(YEAR(C30),MONTH(C30)+1,DAY(C30))</f>
        <v>45892</v>
      </c>
      <c r="D31" s="193">
        <f>IFERROR(PPMT($F$9/12,B31,$F$17,-$E$19),0)</f>
        <v>14091.150249427068</v>
      </c>
      <c r="E31" s="194">
        <f>IFERROR(IPMT($F$9/12,B31,$F$17,-$F$7),0)</f>
        <v>10264.833333333332</v>
      </c>
      <c r="F31" s="279">
        <f t="shared" ref="F31:F62" si="0">SUM(D31:E31)</f>
        <v>24355.9835827604</v>
      </c>
      <c r="G31" s="279"/>
      <c r="H31" s="3"/>
      <c r="I31" s="3"/>
      <c r="J31" s="162" t="e">
        <f>Лист2!#REF!</f>
        <v>#REF!</v>
      </c>
      <c r="K31" s="162"/>
      <c r="L31" s="122"/>
      <c r="AC31" s="4"/>
    </row>
    <row r="32" spans="1:29" ht="13.5" thickBot="1" x14ac:dyDescent="0.25">
      <c r="A32" s="1">
        <v>2</v>
      </c>
      <c r="B32" s="128">
        <v>2</v>
      </c>
      <c r="C32" s="132">
        <f t="shared" ref="C32:C90" ca="1" si="1">DATE(YEAR(C31),MONTH(C31)+1,DAY(C31))</f>
        <v>45923</v>
      </c>
      <c r="D32" s="195">
        <f>IFERROR(PPMT($F$11/12,(B32-1),($F$17-1),-$F$8),0)</f>
        <v>15400.995506091973</v>
      </c>
      <c r="E32" s="194">
        <f>IFERROR(IPMT($F$11/12,(B32-1),($F$17-1),-$F$8),0)</f>
        <v>7891.4566666907058</v>
      </c>
      <c r="F32" s="279">
        <f t="shared" si="0"/>
        <v>23292.45217278268</v>
      </c>
      <c r="G32" s="279"/>
      <c r="H32" s="3"/>
      <c r="I32" s="3"/>
      <c r="J32" s="162" t="e">
        <f>Лист2!#REF!</f>
        <v>#REF!</v>
      </c>
      <c r="K32" s="162"/>
      <c r="L32" s="122"/>
      <c r="AC32" s="4"/>
    </row>
    <row r="33" spans="1:29" ht="13.5" thickBot="1" x14ac:dyDescent="0.25">
      <c r="A33" s="1">
        <v>3</v>
      </c>
      <c r="B33" s="128">
        <v>3</v>
      </c>
      <c r="C33" s="132">
        <f t="shared" ca="1" si="1"/>
        <v>45953</v>
      </c>
      <c r="D33" s="195">
        <f t="shared" ref="D33:D90" si="2">IFERROR(PPMT($F$11/12,(B33-1),($F$17-1),-$F$8),0)</f>
        <v>15991.238658862947</v>
      </c>
      <c r="E33" s="194">
        <f t="shared" ref="E33:E90" si="3">IFERROR(IPMT($F$11/12,(B33-1),($F$17-1),-$F$8),0)</f>
        <v>7301.2135139197308</v>
      </c>
      <c r="F33" s="279">
        <f t="shared" si="0"/>
        <v>23292.45217278268</v>
      </c>
      <c r="G33" s="279"/>
      <c r="H33" s="3"/>
      <c r="I33" s="3"/>
      <c r="J33" s="162" t="e">
        <f>Лист2!#REF!</f>
        <v>#REF!</v>
      </c>
      <c r="K33" s="217"/>
      <c r="L33" s="122"/>
      <c r="AC33" s="4"/>
    </row>
    <row r="34" spans="1:29" ht="13.5" thickBot="1" x14ac:dyDescent="0.25">
      <c r="A34" s="1">
        <v>4</v>
      </c>
      <c r="B34" s="128">
        <v>4</v>
      </c>
      <c r="C34" s="132">
        <f t="shared" ca="1" si="1"/>
        <v>45984</v>
      </c>
      <c r="D34" s="195">
        <f t="shared" si="2"/>
        <v>16604.10288046387</v>
      </c>
      <c r="E34" s="194">
        <f t="shared" si="3"/>
        <v>6688.3492923188087</v>
      </c>
      <c r="F34" s="279">
        <f t="shared" si="0"/>
        <v>23292.45217278268</v>
      </c>
      <c r="G34" s="279"/>
      <c r="H34" s="3"/>
      <c r="I34" s="3"/>
      <c r="J34" s="162" t="e">
        <f>Лист2!#REF!</f>
        <v>#REF!</v>
      </c>
      <c r="K34" s="162"/>
      <c r="L34" s="122"/>
      <c r="AC34" s="4"/>
    </row>
    <row r="35" spans="1:29" ht="13.5" thickBot="1" x14ac:dyDescent="0.25">
      <c r="A35" s="1">
        <v>5</v>
      </c>
      <c r="B35" s="128">
        <v>5</v>
      </c>
      <c r="C35" s="132">
        <f t="shared" ca="1" si="1"/>
        <v>46014</v>
      </c>
      <c r="D35" s="195">
        <f t="shared" si="2"/>
        <v>17240.455123357646</v>
      </c>
      <c r="E35" s="194">
        <f t="shared" si="3"/>
        <v>6051.997049425031</v>
      </c>
      <c r="F35" s="279">
        <f t="shared" si="0"/>
        <v>23292.452172782676</v>
      </c>
      <c r="G35" s="279"/>
      <c r="H35" s="3"/>
      <c r="I35" s="3"/>
      <c r="J35" s="162" t="e">
        <f>Лист2!#REF!</f>
        <v>#REF!</v>
      </c>
      <c r="K35" s="162"/>
      <c r="L35" s="122"/>
      <c r="AC35" s="4"/>
    </row>
    <row r="36" spans="1:29" ht="13.5" thickBot="1" x14ac:dyDescent="0.25">
      <c r="A36" s="1">
        <v>6</v>
      </c>
      <c r="B36" s="128">
        <v>6</v>
      </c>
      <c r="C36" s="132">
        <f t="shared" ca="1" si="1"/>
        <v>46045</v>
      </c>
      <c r="D36" s="195">
        <f t="shared" si="2"/>
        <v>17901.19556596033</v>
      </c>
      <c r="E36" s="194">
        <f t="shared" si="3"/>
        <v>5391.2566068223487</v>
      </c>
      <c r="F36" s="279">
        <f t="shared" si="0"/>
        <v>23292.45217278268</v>
      </c>
      <c r="G36" s="279"/>
      <c r="H36" s="3"/>
      <c r="I36" s="3"/>
      <c r="J36" s="162" t="e">
        <f>Лист2!#REF!</f>
        <v>#REF!</v>
      </c>
      <c r="K36" s="162"/>
      <c r="L36" s="122"/>
      <c r="AC36" s="4"/>
    </row>
    <row r="37" spans="1:29" ht="13.5" thickBot="1" x14ac:dyDescent="0.25">
      <c r="A37" s="1">
        <v>7</v>
      </c>
      <c r="B37" s="128">
        <v>7</v>
      </c>
      <c r="C37" s="132">
        <f t="shared" ca="1" si="1"/>
        <v>46076</v>
      </c>
      <c r="D37" s="195">
        <f t="shared" si="2"/>
        <v>18587.258886025757</v>
      </c>
      <c r="E37" s="194">
        <f t="shared" si="3"/>
        <v>4705.1932867569203</v>
      </c>
      <c r="F37" s="279">
        <f t="shared" si="0"/>
        <v>23292.452172782676</v>
      </c>
      <c r="G37" s="279"/>
      <c r="H37" s="3"/>
      <c r="I37" s="3"/>
      <c r="J37" s="162" t="e">
        <f>Лист2!#REF!</f>
        <v>#REF!</v>
      </c>
      <c r="K37" s="162"/>
      <c r="L37" s="122"/>
      <c r="AC37" s="4"/>
    </row>
    <row r="38" spans="1:29" ht="13.5" thickBot="1" x14ac:dyDescent="0.25">
      <c r="A38" s="1">
        <v>8</v>
      </c>
      <c r="B38" s="128">
        <v>8</v>
      </c>
      <c r="C38" s="132">
        <f t="shared" ca="1" si="1"/>
        <v>46104</v>
      </c>
      <c r="D38" s="195">
        <f t="shared" si="2"/>
        <v>19299.615582832696</v>
      </c>
      <c r="E38" s="194">
        <f t="shared" si="3"/>
        <v>3992.8365899499827</v>
      </c>
      <c r="F38" s="279">
        <f t="shared" si="0"/>
        <v>23292.45217278268</v>
      </c>
      <c r="G38" s="279"/>
      <c r="H38" s="3"/>
      <c r="I38" s="3"/>
      <c r="J38" s="162" t="e">
        <f>Лист2!#REF!</f>
        <v>#REF!</v>
      </c>
      <c r="K38" s="162"/>
      <c r="L38" s="122"/>
      <c r="AC38" s="4"/>
    </row>
    <row r="39" spans="1:29" ht="13.5" thickBot="1" x14ac:dyDescent="0.25">
      <c r="A39" s="1">
        <v>9</v>
      </c>
      <c r="B39" s="128">
        <v>9</v>
      </c>
      <c r="C39" s="132">
        <f t="shared" ca="1" si="1"/>
        <v>46135</v>
      </c>
      <c r="D39" s="195">
        <f t="shared" si="2"/>
        <v>20039.273350044758</v>
      </c>
      <c r="E39" s="194">
        <f t="shared" si="3"/>
        <v>3253.1788227379197</v>
      </c>
      <c r="F39" s="279">
        <f t="shared" si="0"/>
        <v>23292.452172782676</v>
      </c>
      <c r="G39" s="279"/>
      <c r="H39" s="3"/>
      <c r="I39" s="3"/>
      <c r="J39" s="162" t="e">
        <f>Лист2!#REF!</f>
        <v>#REF!</v>
      </c>
      <c r="K39" s="162"/>
      <c r="L39" s="122"/>
      <c r="AC39" s="4"/>
    </row>
    <row r="40" spans="1:29" ht="13.5" thickBot="1" x14ac:dyDescent="0.25">
      <c r="A40" s="1">
        <v>10</v>
      </c>
      <c r="B40" s="128">
        <v>10</v>
      </c>
      <c r="C40" s="132">
        <f t="shared" ca="1" si="1"/>
        <v>46165</v>
      </c>
      <c r="D40" s="195">
        <f t="shared" si="2"/>
        <v>20807.278501185228</v>
      </c>
      <c r="E40" s="194">
        <f t="shared" si="3"/>
        <v>2485.1736715974544</v>
      </c>
      <c r="F40" s="279">
        <f t="shared" si="0"/>
        <v>23292.452172782683</v>
      </c>
      <c r="G40" s="279"/>
      <c r="H40" s="3"/>
      <c r="I40" s="3"/>
      <c r="J40" s="162" t="e">
        <f>Лист2!#REF!</f>
        <v>#REF!</v>
      </c>
      <c r="K40" s="162"/>
      <c r="L40" s="122"/>
      <c r="AC40" s="4"/>
    </row>
    <row r="41" spans="1:29" ht="13.5" thickBot="1" x14ac:dyDescent="0.25">
      <c r="A41" s="1">
        <v>22</v>
      </c>
      <c r="B41" s="128">
        <v>11</v>
      </c>
      <c r="C41" s="132">
        <f t="shared" ca="1" si="1"/>
        <v>46196</v>
      </c>
      <c r="D41" s="195">
        <f t="shared" si="2"/>
        <v>21604.717449743152</v>
      </c>
      <c r="E41" s="194">
        <f t="shared" si="3"/>
        <v>1687.7347230395308</v>
      </c>
      <c r="F41" s="279">
        <f t="shared" si="0"/>
        <v>23292.452172782683</v>
      </c>
      <c r="G41" s="279"/>
      <c r="H41" s="3"/>
      <c r="I41" s="3"/>
      <c r="J41" s="162" t="e">
        <f>Лист2!#REF!</f>
        <v>#REF!</v>
      </c>
      <c r="K41" s="162"/>
      <c r="L41" s="122"/>
      <c r="AC41" s="4"/>
    </row>
    <row r="42" spans="1:29" ht="13.5" thickBot="1" x14ac:dyDescent="0.25">
      <c r="A42" s="1">
        <v>22</v>
      </c>
      <c r="B42" s="128">
        <v>12</v>
      </c>
      <c r="C42" s="132">
        <f t="shared" ca="1" si="1"/>
        <v>46226</v>
      </c>
      <c r="D42" s="195">
        <f t="shared" si="2"/>
        <v>22432.718246004555</v>
      </c>
      <c r="E42" s="194">
        <f t="shared" si="3"/>
        <v>859.73392677812456</v>
      </c>
      <c r="F42" s="279">
        <f t="shared" si="0"/>
        <v>23292.45217278268</v>
      </c>
      <c r="G42" s="279"/>
      <c r="H42" s="3"/>
      <c r="I42" s="3"/>
      <c r="J42" s="162" t="e">
        <f>Лист2!#REF!</f>
        <v>#REF!</v>
      </c>
      <c r="K42" s="162"/>
      <c r="L42" s="122"/>
      <c r="AC42" s="4"/>
    </row>
    <row r="43" spans="1:29" ht="13.5" thickBot="1" x14ac:dyDescent="0.25">
      <c r="A43" s="1">
        <v>13</v>
      </c>
      <c r="B43" s="128">
        <v>13</v>
      </c>
      <c r="C43" s="132">
        <f t="shared" ca="1" si="1"/>
        <v>46257</v>
      </c>
      <c r="D43" s="195">
        <f t="shared" si="2"/>
        <v>0</v>
      </c>
      <c r="E43" s="194">
        <f t="shared" si="3"/>
        <v>0</v>
      </c>
      <c r="F43" s="279">
        <f t="shared" si="0"/>
        <v>0</v>
      </c>
      <c r="G43" s="279"/>
      <c r="H43" s="3"/>
      <c r="I43" s="3"/>
      <c r="J43" s="162" t="e">
        <f>Лист2!#REF!</f>
        <v>#REF!</v>
      </c>
      <c r="K43" s="162"/>
      <c r="L43" s="122"/>
      <c r="AC43" s="4"/>
    </row>
    <row r="44" spans="1:29" ht="13.5" thickBot="1" x14ac:dyDescent="0.25">
      <c r="A44" s="1">
        <v>14</v>
      </c>
      <c r="B44" s="128">
        <v>14</v>
      </c>
      <c r="C44" s="132">
        <f t="shared" ca="1" si="1"/>
        <v>46288</v>
      </c>
      <c r="D44" s="195">
        <f t="shared" si="2"/>
        <v>0</v>
      </c>
      <c r="E44" s="194">
        <f t="shared" si="3"/>
        <v>0</v>
      </c>
      <c r="F44" s="279">
        <f t="shared" si="0"/>
        <v>0</v>
      </c>
      <c r="G44" s="279"/>
      <c r="H44" s="3"/>
      <c r="I44" s="3"/>
      <c r="J44" s="162" t="e">
        <f>Лист2!#REF!</f>
        <v>#REF!</v>
      </c>
      <c r="K44" s="162"/>
      <c r="L44" s="122"/>
      <c r="AC44" s="4"/>
    </row>
    <row r="45" spans="1:29" ht="13.5" thickBot="1" x14ac:dyDescent="0.25">
      <c r="A45" s="1">
        <v>15</v>
      </c>
      <c r="B45" s="128">
        <v>15</v>
      </c>
      <c r="C45" s="132">
        <f t="shared" ca="1" si="1"/>
        <v>46318</v>
      </c>
      <c r="D45" s="195">
        <f t="shared" si="2"/>
        <v>0</v>
      </c>
      <c r="E45" s="194">
        <f t="shared" si="3"/>
        <v>0</v>
      </c>
      <c r="F45" s="279">
        <f t="shared" si="0"/>
        <v>0</v>
      </c>
      <c r="G45" s="279"/>
      <c r="H45" s="3"/>
      <c r="I45" s="3"/>
      <c r="J45" s="162" t="e">
        <f>Лист2!#REF!</f>
        <v>#REF!</v>
      </c>
      <c r="K45" s="162"/>
      <c r="L45" s="122"/>
      <c r="AC45" s="4"/>
    </row>
    <row r="46" spans="1:29" ht="13.5" thickBot="1" x14ac:dyDescent="0.25">
      <c r="A46" s="1">
        <v>16</v>
      </c>
      <c r="B46" s="128">
        <v>16</v>
      </c>
      <c r="C46" s="132">
        <f t="shared" ca="1" si="1"/>
        <v>46349</v>
      </c>
      <c r="D46" s="195">
        <f t="shared" si="2"/>
        <v>0</v>
      </c>
      <c r="E46" s="194">
        <f t="shared" si="3"/>
        <v>0</v>
      </c>
      <c r="F46" s="279">
        <f t="shared" si="0"/>
        <v>0</v>
      </c>
      <c r="G46" s="279"/>
      <c r="H46" s="3"/>
      <c r="I46" s="3"/>
      <c r="J46" s="162" t="e">
        <f>Лист2!#REF!</f>
        <v>#REF!</v>
      </c>
      <c r="K46" s="162"/>
      <c r="L46" s="122"/>
      <c r="AC46" s="4"/>
    </row>
    <row r="47" spans="1:29" ht="13.5" thickBot="1" x14ac:dyDescent="0.25">
      <c r="A47" s="1">
        <v>22</v>
      </c>
      <c r="B47" s="128">
        <v>17</v>
      </c>
      <c r="C47" s="132">
        <f t="shared" ca="1" si="1"/>
        <v>46379</v>
      </c>
      <c r="D47" s="195">
        <f t="shared" si="2"/>
        <v>0</v>
      </c>
      <c r="E47" s="194">
        <f t="shared" si="3"/>
        <v>0</v>
      </c>
      <c r="F47" s="279">
        <f t="shared" si="0"/>
        <v>0</v>
      </c>
      <c r="G47" s="279"/>
      <c r="H47" s="3"/>
      <c r="I47" s="3"/>
      <c r="J47" s="162"/>
      <c r="K47" s="162"/>
      <c r="L47" s="122"/>
      <c r="AC47" s="4"/>
    </row>
    <row r="48" spans="1:29" ht="13.5" thickBot="1" x14ac:dyDescent="0.25">
      <c r="A48" s="1">
        <v>22</v>
      </c>
      <c r="B48" s="128">
        <v>18</v>
      </c>
      <c r="C48" s="132">
        <f t="shared" ca="1" si="1"/>
        <v>46410</v>
      </c>
      <c r="D48" s="195">
        <f t="shared" si="2"/>
        <v>0</v>
      </c>
      <c r="E48" s="194">
        <f t="shared" si="3"/>
        <v>0</v>
      </c>
      <c r="F48" s="279">
        <f t="shared" si="0"/>
        <v>0</v>
      </c>
      <c r="G48" s="279"/>
      <c r="H48" s="3"/>
      <c r="I48" s="3"/>
      <c r="J48" s="162"/>
      <c r="L48" s="122"/>
      <c r="AC48" s="4"/>
    </row>
    <row r="49" spans="1:29" ht="13.5" thickBot="1" x14ac:dyDescent="0.25">
      <c r="A49" s="1">
        <v>19</v>
      </c>
      <c r="B49" s="128">
        <v>19</v>
      </c>
      <c r="C49" s="132">
        <f t="shared" ca="1" si="1"/>
        <v>46441</v>
      </c>
      <c r="D49" s="195">
        <f t="shared" si="2"/>
        <v>0</v>
      </c>
      <c r="E49" s="194">
        <f t="shared" si="3"/>
        <v>0</v>
      </c>
      <c r="F49" s="279">
        <f t="shared" si="0"/>
        <v>0</v>
      </c>
      <c r="G49" s="279"/>
      <c r="H49" s="3"/>
      <c r="I49" s="3"/>
      <c r="J49" s="162"/>
      <c r="L49" s="122"/>
      <c r="AC49" s="4"/>
    </row>
    <row r="50" spans="1:29" ht="13.5" thickBot="1" x14ac:dyDescent="0.25">
      <c r="A50" s="1">
        <v>20</v>
      </c>
      <c r="B50" s="128">
        <v>20</v>
      </c>
      <c r="C50" s="132">
        <f t="shared" ca="1" si="1"/>
        <v>46469</v>
      </c>
      <c r="D50" s="195">
        <f t="shared" si="2"/>
        <v>0</v>
      </c>
      <c r="E50" s="194">
        <f t="shared" si="3"/>
        <v>0</v>
      </c>
      <c r="F50" s="279">
        <f t="shared" si="0"/>
        <v>0</v>
      </c>
      <c r="G50" s="279"/>
      <c r="H50" s="3"/>
      <c r="I50" s="3"/>
      <c r="J50" s="162"/>
      <c r="L50" s="122"/>
      <c r="AC50" s="4"/>
    </row>
    <row r="51" spans="1:29" ht="13.5" thickBot="1" x14ac:dyDescent="0.25">
      <c r="A51" s="60">
        <v>21</v>
      </c>
      <c r="B51" s="128">
        <v>21</v>
      </c>
      <c r="C51" s="132">
        <f t="shared" ca="1" si="1"/>
        <v>46500</v>
      </c>
      <c r="D51" s="195">
        <f t="shared" si="2"/>
        <v>0</v>
      </c>
      <c r="E51" s="194">
        <f t="shared" si="3"/>
        <v>0</v>
      </c>
      <c r="F51" s="279">
        <f t="shared" si="0"/>
        <v>0</v>
      </c>
      <c r="G51" s="279"/>
      <c r="H51" s="3"/>
      <c r="I51" s="3"/>
      <c r="J51" s="162"/>
      <c r="L51" s="122"/>
      <c r="AC51" s="4"/>
    </row>
    <row r="52" spans="1:29" ht="13.5" thickBot="1" x14ac:dyDescent="0.25">
      <c r="A52" s="60">
        <v>22</v>
      </c>
      <c r="B52" s="128">
        <v>22</v>
      </c>
      <c r="C52" s="132">
        <f t="shared" ca="1" si="1"/>
        <v>46530</v>
      </c>
      <c r="D52" s="195">
        <f t="shared" si="2"/>
        <v>0</v>
      </c>
      <c r="E52" s="194">
        <f t="shared" si="3"/>
        <v>0</v>
      </c>
      <c r="F52" s="279">
        <f t="shared" si="0"/>
        <v>0</v>
      </c>
      <c r="G52" s="279"/>
      <c r="H52" s="3"/>
      <c r="I52" s="3"/>
      <c r="J52" s="4"/>
      <c r="L52" s="122"/>
      <c r="AC52" s="4"/>
    </row>
    <row r="53" spans="1:29" ht="13.5" thickBot="1" x14ac:dyDescent="0.25">
      <c r="A53" s="60">
        <v>25</v>
      </c>
      <c r="B53" s="128">
        <v>23</v>
      </c>
      <c r="C53" s="132">
        <f t="shared" ca="1" si="1"/>
        <v>46561</v>
      </c>
      <c r="D53" s="195">
        <f t="shared" si="2"/>
        <v>0</v>
      </c>
      <c r="E53" s="194">
        <f t="shared" si="3"/>
        <v>0</v>
      </c>
      <c r="F53" s="279">
        <f t="shared" si="0"/>
        <v>0</v>
      </c>
      <c r="G53" s="279"/>
      <c r="H53" s="3"/>
      <c r="I53" s="3"/>
      <c r="J53" s="4"/>
      <c r="L53" s="122"/>
      <c r="AC53" s="4"/>
    </row>
    <row r="54" spans="1:29" ht="13.5" thickBot="1" x14ac:dyDescent="0.25">
      <c r="A54" s="60"/>
      <c r="B54" s="128">
        <v>24</v>
      </c>
      <c r="C54" s="132">
        <f t="shared" ca="1" si="1"/>
        <v>46591</v>
      </c>
      <c r="D54" s="195">
        <f t="shared" si="2"/>
        <v>0</v>
      </c>
      <c r="E54" s="194">
        <f t="shared" si="3"/>
        <v>0</v>
      </c>
      <c r="F54" s="279">
        <f t="shared" si="0"/>
        <v>0</v>
      </c>
      <c r="G54" s="279"/>
      <c r="H54" s="3"/>
      <c r="I54" s="3"/>
      <c r="J54" s="4"/>
      <c r="L54" s="122"/>
      <c r="AC54" s="4"/>
    </row>
    <row r="55" spans="1:29" ht="13.5" thickBot="1" x14ac:dyDescent="0.25">
      <c r="A55" s="60"/>
      <c r="B55" s="128">
        <v>25</v>
      </c>
      <c r="C55" s="132">
        <f t="shared" ca="1" si="1"/>
        <v>46622</v>
      </c>
      <c r="D55" s="195">
        <f t="shared" si="2"/>
        <v>0</v>
      </c>
      <c r="E55" s="194">
        <f t="shared" si="3"/>
        <v>0</v>
      </c>
      <c r="F55" s="279">
        <f t="shared" si="0"/>
        <v>0</v>
      </c>
      <c r="G55" s="279"/>
      <c r="H55" s="3"/>
      <c r="I55" s="3"/>
      <c r="J55" s="4"/>
      <c r="L55" s="122"/>
      <c r="AC55" s="4"/>
    </row>
    <row r="56" spans="1:29" ht="13.5" thickBot="1" x14ac:dyDescent="0.25">
      <c r="A56" s="60"/>
      <c r="B56" s="128">
        <v>26</v>
      </c>
      <c r="C56" s="132">
        <f t="shared" ca="1" si="1"/>
        <v>46653</v>
      </c>
      <c r="D56" s="195">
        <f t="shared" si="2"/>
        <v>0</v>
      </c>
      <c r="E56" s="194">
        <f t="shared" si="3"/>
        <v>0</v>
      </c>
      <c r="F56" s="279">
        <f t="shared" si="0"/>
        <v>0</v>
      </c>
      <c r="G56" s="279"/>
      <c r="H56" s="3"/>
      <c r="I56" s="3"/>
      <c r="J56" s="4"/>
      <c r="L56" s="122"/>
      <c r="AC56" s="4"/>
    </row>
    <row r="57" spans="1:29" ht="13.5" thickBot="1" x14ac:dyDescent="0.25">
      <c r="A57" s="60"/>
      <c r="B57" s="128">
        <v>27</v>
      </c>
      <c r="C57" s="132">
        <f t="shared" ca="1" si="1"/>
        <v>46683</v>
      </c>
      <c r="D57" s="195">
        <f t="shared" si="2"/>
        <v>0</v>
      </c>
      <c r="E57" s="194">
        <f t="shared" si="3"/>
        <v>0</v>
      </c>
      <c r="F57" s="279">
        <f t="shared" si="0"/>
        <v>0</v>
      </c>
      <c r="G57" s="279"/>
      <c r="H57" s="3"/>
      <c r="I57" s="3"/>
      <c r="J57" s="4"/>
      <c r="L57" s="122"/>
      <c r="AC57" s="4"/>
    </row>
    <row r="58" spans="1:29" ht="13.5" thickBot="1" x14ac:dyDescent="0.25">
      <c r="A58" s="60"/>
      <c r="B58" s="128">
        <v>28</v>
      </c>
      <c r="C58" s="132">
        <f t="shared" ca="1" si="1"/>
        <v>46714</v>
      </c>
      <c r="D58" s="195">
        <f t="shared" si="2"/>
        <v>0</v>
      </c>
      <c r="E58" s="194">
        <f t="shared" si="3"/>
        <v>0</v>
      </c>
      <c r="F58" s="279">
        <f t="shared" si="0"/>
        <v>0</v>
      </c>
      <c r="G58" s="279"/>
      <c r="H58" s="3"/>
      <c r="I58" s="3"/>
      <c r="J58" s="4"/>
      <c r="L58" s="122"/>
      <c r="AC58" s="4"/>
    </row>
    <row r="59" spans="1:29" ht="13.5" thickBot="1" x14ac:dyDescent="0.25">
      <c r="A59" s="60"/>
      <c r="B59" s="128">
        <v>29</v>
      </c>
      <c r="C59" s="132">
        <f t="shared" ca="1" si="1"/>
        <v>46744</v>
      </c>
      <c r="D59" s="195">
        <f t="shared" si="2"/>
        <v>0</v>
      </c>
      <c r="E59" s="194">
        <f t="shared" si="3"/>
        <v>0</v>
      </c>
      <c r="F59" s="279">
        <f t="shared" si="0"/>
        <v>0</v>
      </c>
      <c r="G59" s="279"/>
      <c r="H59" s="3"/>
      <c r="I59" s="3"/>
      <c r="J59" s="4"/>
      <c r="L59" s="122"/>
      <c r="AC59" s="4"/>
    </row>
    <row r="60" spans="1:29" ht="13.5" thickBot="1" x14ac:dyDescent="0.25">
      <c r="A60" s="60">
        <v>25</v>
      </c>
      <c r="B60" s="128">
        <v>30</v>
      </c>
      <c r="C60" s="132">
        <f t="shared" ca="1" si="1"/>
        <v>46775</v>
      </c>
      <c r="D60" s="195">
        <f t="shared" si="2"/>
        <v>0</v>
      </c>
      <c r="E60" s="194">
        <f t="shared" si="3"/>
        <v>0</v>
      </c>
      <c r="F60" s="279">
        <f t="shared" si="0"/>
        <v>0</v>
      </c>
      <c r="G60" s="279"/>
      <c r="H60" s="134"/>
      <c r="I60" s="134"/>
      <c r="J60" s="4"/>
      <c r="L60" s="122"/>
      <c r="AC60" s="4"/>
    </row>
    <row r="61" spans="1:29" ht="13.5" thickBot="1" x14ac:dyDescent="0.25">
      <c r="A61" s="60"/>
      <c r="B61" s="128">
        <v>31</v>
      </c>
      <c r="C61" s="132">
        <f t="shared" ca="1" si="1"/>
        <v>46806</v>
      </c>
      <c r="D61" s="195">
        <f t="shared" si="2"/>
        <v>0</v>
      </c>
      <c r="E61" s="194">
        <f t="shared" si="3"/>
        <v>0</v>
      </c>
      <c r="F61" s="279">
        <f t="shared" si="0"/>
        <v>0</v>
      </c>
      <c r="G61" s="279"/>
      <c r="H61" s="134"/>
      <c r="I61" s="134"/>
      <c r="J61" s="4"/>
      <c r="L61" s="122"/>
      <c r="AC61" s="4"/>
    </row>
    <row r="62" spans="1:29" ht="13.5" thickBot="1" x14ac:dyDescent="0.25">
      <c r="A62" s="60"/>
      <c r="B62" s="128">
        <v>32</v>
      </c>
      <c r="C62" s="132">
        <f t="shared" ca="1" si="1"/>
        <v>46835</v>
      </c>
      <c r="D62" s="195">
        <f t="shared" si="2"/>
        <v>0</v>
      </c>
      <c r="E62" s="194">
        <f t="shared" si="3"/>
        <v>0</v>
      </c>
      <c r="F62" s="279">
        <f t="shared" si="0"/>
        <v>0</v>
      </c>
      <c r="G62" s="279"/>
      <c r="H62" s="134"/>
      <c r="I62" s="134"/>
      <c r="J62" s="4"/>
      <c r="L62" s="122"/>
      <c r="AC62" s="4"/>
    </row>
    <row r="63" spans="1:29" ht="13.5" thickBot="1" x14ac:dyDescent="0.25">
      <c r="A63" s="60"/>
      <c r="B63" s="128">
        <v>33</v>
      </c>
      <c r="C63" s="132">
        <f t="shared" ca="1" si="1"/>
        <v>46866</v>
      </c>
      <c r="D63" s="195">
        <f t="shared" si="2"/>
        <v>0</v>
      </c>
      <c r="E63" s="194">
        <f t="shared" si="3"/>
        <v>0</v>
      </c>
      <c r="F63" s="279">
        <f t="shared" ref="F63:F90" si="4">SUM(D63:E63)</f>
        <v>0</v>
      </c>
      <c r="G63" s="279"/>
      <c r="H63" s="134"/>
      <c r="I63" s="134"/>
      <c r="J63" s="4"/>
      <c r="L63" s="122"/>
      <c r="AC63" s="4"/>
    </row>
    <row r="64" spans="1:29" ht="13.5" thickBot="1" x14ac:dyDescent="0.25">
      <c r="A64" s="60"/>
      <c r="B64" s="128">
        <v>34</v>
      </c>
      <c r="C64" s="132">
        <f t="shared" ca="1" si="1"/>
        <v>46896</v>
      </c>
      <c r="D64" s="195">
        <f t="shared" si="2"/>
        <v>0</v>
      </c>
      <c r="E64" s="194">
        <f t="shared" si="3"/>
        <v>0</v>
      </c>
      <c r="F64" s="279">
        <f t="shared" si="4"/>
        <v>0</v>
      </c>
      <c r="G64" s="279"/>
      <c r="H64" s="134"/>
      <c r="I64" s="134"/>
      <c r="J64" s="4"/>
      <c r="L64" s="122"/>
      <c r="AC64" s="4"/>
    </row>
    <row r="65" spans="1:29" ht="13.5" thickBot="1" x14ac:dyDescent="0.25">
      <c r="A65" s="60"/>
      <c r="B65" s="128">
        <v>35</v>
      </c>
      <c r="C65" s="132">
        <f t="shared" ca="1" si="1"/>
        <v>46927</v>
      </c>
      <c r="D65" s="195">
        <f t="shared" si="2"/>
        <v>0</v>
      </c>
      <c r="E65" s="194">
        <f t="shared" si="3"/>
        <v>0</v>
      </c>
      <c r="F65" s="279">
        <f t="shared" si="4"/>
        <v>0</v>
      </c>
      <c r="G65" s="279"/>
      <c r="H65" s="134"/>
      <c r="I65" s="134"/>
      <c r="J65" s="4"/>
      <c r="L65" s="122"/>
      <c r="AC65" s="4"/>
    </row>
    <row r="66" spans="1:29" ht="13.5" thickBot="1" x14ac:dyDescent="0.25">
      <c r="A66" s="60"/>
      <c r="B66" s="128">
        <v>36</v>
      </c>
      <c r="C66" s="132">
        <f t="shared" ca="1" si="1"/>
        <v>46957</v>
      </c>
      <c r="D66" s="195">
        <f t="shared" si="2"/>
        <v>0</v>
      </c>
      <c r="E66" s="194">
        <f t="shared" si="3"/>
        <v>0</v>
      </c>
      <c r="F66" s="279">
        <f t="shared" si="4"/>
        <v>0</v>
      </c>
      <c r="G66" s="279"/>
      <c r="H66" s="134"/>
      <c r="I66" s="134"/>
      <c r="J66" s="4"/>
      <c r="L66" s="122"/>
      <c r="AC66" s="4"/>
    </row>
    <row r="67" spans="1:29" ht="13.5" thickBot="1" x14ac:dyDescent="0.25">
      <c r="A67" s="60"/>
      <c r="B67" s="128">
        <v>37</v>
      </c>
      <c r="C67" s="132">
        <f t="shared" ca="1" si="1"/>
        <v>46988</v>
      </c>
      <c r="D67" s="195">
        <f t="shared" si="2"/>
        <v>0</v>
      </c>
      <c r="E67" s="194">
        <f t="shared" si="3"/>
        <v>0</v>
      </c>
      <c r="F67" s="279">
        <f t="shared" si="4"/>
        <v>0</v>
      </c>
      <c r="G67" s="279"/>
      <c r="H67" s="134"/>
      <c r="I67" s="134"/>
      <c r="J67" s="4"/>
      <c r="L67" s="122"/>
      <c r="AC67" s="4"/>
    </row>
    <row r="68" spans="1:29" ht="13.5" thickBot="1" x14ac:dyDescent="0.25">
      <c r="A68" s="60"/>
      <c r="B68" s="128">
        <v>38</v>
      </c>
      <c r="C68" s="132">
        <f t="shared" ca="1" si="1"/>
        <v>47019</v>
      </c>
      <c r="D68" s="195">
        <f t="shared" si="2"/>
        <v>0</v>
      </c>
      <c r="E68" s="194">
        <f t="shared" si="3"/>
        <v>0</v>
      </c>
      <c r="F68" s="279">
        <f t="shared" si="4"/>
        <v>0</v>
      </c>
      <c r="G68" s="279"/>
      <c r="H68" s="134"/>
      <c r="I68" s="134"/>
      <c r="J68" s="4"/>
      <c r="L68" s="122"/>
      <c r="AC68" s="4"/>
    </row>
    <row r="69" spans="1:29" ht="13.5" thickBot="1" x14ac:dyDescent="0.25">
      <c r="A69" s="60"/>
      <c r="B69" s="128">
        <v>39</v>
      </c>
      <c r="C69" s="132">
        <f t="shared" ca="1" si="1"/>
        <v>47049</v>
      </c>
      <c r="D69" s="195">
        <f t="shared" si="2"/>
        <v>0</v>
      </c>
      <c r="E69" s="194">
        <f t="shared" si="3"/>
        <v>0</v>
      </c>
      <c r="F69" s="279">
        <f t="shared" si="4"/>
        <v>0</v>
      </c>
      <c r="G69" s="279"/>
      <c r="H69" s="134"/>
      <c r="I69" s="134"/>
      <c r="J69" s="4"/>
      <c r="L69" s="122"/>
      <c r="AC69" s="4"/>
    </row>
    <row r="70" spans="1:29" ht="13.5" thickBot="1" x14ac:dyDescent="0.25">
      <c r="A70" s="60"/>
      <c r="B70" s="128">
        <v>40</v>
      </c>
      <c r="C70" s="132">
        <f t="shared" ca="1" si="1"/>
        <v>47080</v>
      </c>
      <c r="D70" s="195">
        <f t="shared" si="2"/>
        <v>0</v>
      </c>
      <c r="E70" s="194">
        <f t="shared" si="3"/>
        <v>0</v>
      </c>
      <c r="F70" s="279">
        <f t="shared" si="4"/>
        <v>0</v>
      </c>
      <c r="G70" s="279"/>
      <c r="H70" s="134"/>
      <c r="I70" s="134"/>
      <c r="J70" s="4"/>
      <c r="L70" s="122"/>
      <c r="AC70" s="4"/>
    </row>
    <row r="71" spans="1:29" ht="13.5" thickBot="1" x14ac:dyDescent="0.25">
      <c r="A71" s="60"/>
      <c r="B71" s="128">
        <v>41</v>
      </c>
      <c r="C71" s="132">
        <f t="shared" ca="1" si="1"/>
        <v>47110</v>
      </c>
      <c r="D71" s="195">
        <f t="shared" si="2"/>
        <v>0</v>
      </c>
      <c r="E71" s="194">
        <f t="shared" si="3"/>
        <v>0</v>
      </c>
      <c r="F71" s="279">
        <f t="shared" si="4"/>
        <v>0</v>
      </c>
      <c r="G71" s="279"/>
      <c r="H71" s="134"/>
      <c r="I71" s="134"/>
      <c r="J71" s="4"/>
      <c r="L71" s="122"/>
      <c r="AC71" s="4"/>
    </row>
    <row r="72" spans="1:29" ht="13.5" thickBot="1" x14ac:dyDescent="0.25">
      <c r="A72" s="60"/>
      <c r="B72" s="128">
        <v>42</v>
      </c>
      <c r="C72" s="132">
        <f t="shared" ca="1" si="1"/>
        <v>47141</v>
      </c>
      <c r="D72" s="195">
        <f t="shared" si="2"/>
        <v>0</v>
      </c>
      <c r="E72" s="194">
        <f t="shared" si="3"/>
        <v>0</v>
      </c>
      <c r="F72" s="279">
        <f t="shared" si="4"/>
        <v>0</v>
      </c>
      <c r="G72" s="279"/>
      <c r="H72" s="134"/>
      <c r="I72" s="134"/>
      <c r="J72" s="4"/>
      <c r="L72" s="122"/>
      <c r="AC72" s="4"/>
    </row>
    <row r="73" spans="1:29" ht="13.5" thickBot="1" x14ac:dyDescent="0.25">
      <c r="A73" s="60"/>
      <c r="B73" s="128">
        <v>43</v>
      </c>
      <c r="C73" s="132">
        <f t="shared" ca="1" si="1"/>
        <v>47172</v>
      </c>
      <c r="D73" s="195">
        <f t="shared" si="2"/>
        <v>0</v>
      </c>
      <c r="E73" s="194">
        <f t="shared" si="3"/>
        <v>0</v>
      </c>
      <c r="F73" s="279">
        <f t="shared" si="4"/>
        <v>0</v>
      </c>
      <c r="G73" s="279"/>
      <c r="H73" s="134"/>
      <c r="I73" s="134"/>
      <c r="J73" s="4"/>
      <c r="L73" s="122"/>
      <c r="AC73" s="4"/>
    </row>
    <row r="74" spans="1:29" ht="13.5" thickBot="1" x14ac:dyDescent="0.25">
      <c r="A74" s="60"/>
      <c r="B74" s="128">
        <v>44</v>
      </c>
      <c r="C74" s="132">
        <f t="shared" ca="1" si="1"/>
        <v>47200</v>
      </c>
      <c r="D74" s="195">
        <f t="shared" si="2"/>
        <v>0</v>
      </c>
      <c r="E74" s="194">
        <f t="shared" si="3"/>
        <v>0</v>
      </c>
      <c r="F74" s="279">
        <f t="shared" si="4"/>
        <v>0</v>
      </c>
      <c r="G74" s="279"/>
      <c r="H74" s="134"/>
      <c r="I74" s="134"/>
      <c r="J74" s="4"/>
      <c r="L74" s="122"/>
      <c r="AC74" s="4"/>
    </row>
    <row r="75" spans="1:29" ht="13.5" thickBot="1" x14ac:dyDescent="0.25">
      <c r="A75" s="60"/>
      <c r="B75" s="128">
        <v>45</v>
      </c>
      <c r="C75" s="132">
        <f t="shared" ca="1" si="1"/>
        <v>47231</v>
      </c>
      <c r="D75" s="195">
        <f t="shared" si="2"/>
        <v>0</v>
      </c>
      <c r="E75" s="194">
        <f t="shared" si="3"/>
        <v>0</v>
      </c>
      <c r="F75" s="279">
        <f t="shared" si="4"/>
        <v>0</v>
      </c>
      <c r="G75" s="279"/>
      <c r="H75" s="134"/>
      <c r="I75" s="134"/>
      <c r="J75" s="4"/>
      <c r="L75" s="122"/>
      <c r="AC75" s="4"/>
    </row>
    <row r="76" spans="1:29" ht="13.5" thickBot="1" x14ac:dyDescent="0.25">
      <c r="A76" s="60"/>
      <c r="B76" s="128">
        <v>46</v>
      </c>
      <c r="C76" s="132">
        <f t="shared" ca="1" si="1"/>
        <v>47261</v>
      </c>
      <c r="D76" s="195">
        <f t="shared" si="2"/>
        <v>0</v>
      </c>
      <c r="E76" s="194">
        <f t="shared" si="3"/>
        <v>0</v>
      </c>
      <c r="F76" s="279">
        <f t="shared" si="4"/>
        <v>0</v>
      </c>
      <c r="G76" s="279"/>
      <c r="H76" s="134"/>
      <c r="I76" s="134"/>
      <c r="J76" s="4"/>
      <c r="L76" s="122"/>
      <c r="AC76" s="4"/>
    </row>
    <row r="77" spans="1:29" ht="13.5" thickBot="1" x14ac:dyDescent="0.25">
      <c r="A77" s="60"/>
      <c r="B77" s="128">
        <v>47</v>
      </c>
      <c r="C77" s="132">
        <f t="shared" ca="1" si="1"/>
        <v>47292</v>
      </c>
      <c r="D77" s="195">
        <f t="shared" si="2"/>
        <v>0</v>
      </c>
      <c r="E77" s="194">
        <f t="shared" si="3"/>
        <v>0</v>
      </c>
      <c r="F77" s="279">
        <f t="shared" si="4"/>
        <v>0</v>
      </c>
      <c r="G77" s="279"/>
      <c r="H77" s="134"/>
      <c r="I77" s="134"/>
      <c r="J77" s="4"/>
      <c r="L77" s="122"/>
      <c r="AC77" s="4"/>
    </row>
    <row r="78" spans="1:29" ht="13.5" thickBot="1" x14ac:dyDescent="0.25">
      <c r="A78" s="60"/>
      <c r="B78" s="128">
        <v>48</v>
      </c>
      <c r="C78" s="132">
        <f t="shared" ca="1" si="1"/>
        <v>47322</v>
      </c>
      <c r="D78" s="195">
        <f t="shared" si="2"/>
        <v>0</v>
      </c>
      <c r="E78" s="194">
        <f t="shared" si="3"/>
        <v>0</v>
      </c>
      <c r="F78" s="279">
        <f t="shared" si="4"/>
        <v>0</v>
      </c>
      <c r="G78" s="279"/>
      <c r="H78" s="134"/>
      <c r="I78" s="134"/>
      <c r="J78" s="4"/>
      <c r="L78" s="122"/>
      <c r="AC78" s="4"/>
    </row>
    <row r="79" spans="1:29" ht="13.5" thickBot="1" x14ac:dyDescent="0.25">
      <c r="A79" s="60"/>
      <c r="B79" s="128">
        <v>49</v>
      </c>
      <c r="C79" s="132">
        <f t="shared" ca="1" si="1"/>
        <v>47353</v>
      </c>
      <c r="D79" s="195">
        <f t="shared" si="2"/>
        <v>0</v>
      </c>
      <c r="E79" s="194">
        <f t="shared" si="3"/>
        <v>0</v>
      </c>
      <c r="F79" s="279">
        <f t="shared" si="4"/>
        <v>0</v>
      </c>
      <c r="G79" s="279"/>
      <c r="H79" s="134"/>
      <c r="I79" s="134"/>
      <c r="J79" s="4"/>
      <c r="L79" s="122"/>
      <c r="AC79" s="4"/>
    </row>
    <row r="80" spans="1:29" ht="13.5" thickBot="1" x14ac:dyDescent="0.25">
      <c r="A80" s="60"/>
      <c r="B80" s="128">
        <v>50</v>
      </c>
      <c r="C80" s="132">
        <f t="shared" ca="1" si="1"/>
        <v>47384</v>
      </c>
      <c r="D80" s="195">
        <f t="shared" si="2"/>
        <v>0</v>
      </c>
      <c r="E80" s="194">
        <f t="shared" si="3"/>
        <v>0</v>
      </c>
      <c r="F80" s="279">
        <f t="shared" si="4"/>
        <v>0</v>
      </c>
      <c r="G80" s="279"/>
      <c r="H80" s="134"/>
      <c r="I80" s="134"/>
      <c r="J80" s="4"/>
      <c r="L80" s="122"/>
      <c r="AC80" s="4"/>
    </row>
    <row r="81" spans="1:29" ht="13.5" thickBot="1" x14ac:dyDescent="0.25">
      <c r="A81" s="60"/>
      <c r="B81" s="128">
        <v>51</v>
      </c>
      <c r="C81" s="132">
        <f t="shared" ca="1" si="1"/>
        <v>47414</v>
      </c>
      <c r="D81" s="195">
        <f t="shared" si="2"/>
        <v>0</v>
      </c>
      <c r="E81" s="194">
        <f t="shared" si="3"/>
        <v>0</v>
      </c>
      <c r="F81" s="279">
        <f t="shared" si="4"/>
        <v>0</v>
      </c>
      <c r="G81" s="279"/>
      <c r="H81" s="134"/>
      <c r="I81" s="134"/>
      <c r="J81" s="4"/>
      <c r="L81" s="122"/>
      <c r="AC81" s="4"/>
    </row>
    <row r="82" spans="1:29" ht="13.5" thickBot="1" x14ac:dyDescent="0.25">
      <c r="A82" s="60"/>
      <c r="B82" s="128">
        <v>52</v>
      </c>
      <c r="C82" s="132">
        <f t="shared" ca="1" si="1"/>
        <v>47445</v>
      </c>
      <c r="D82" s="195">
        <f t="shared" si="2"/>
        <v>0</v>
      </c>
      <c r="E82" s="194">
        <f t="shared" si="3"/>
        <v>0</v>
      </c>
      <c r="F82" s="279">
        <f t="shared" si="4"/>
        <v>0</v>
      </c>
      <c r="G82" s="279"/>
      <c r="H82" s="134"/>
      <c r="I82" s="134"/>
      <c r="J82" s="4"/>
      <c r="L82" s="122"/>
      <c r="AC82" s="4"/>
    </row>
    <row r="83" spans="1:29" ht="13.5" thickBot="1" x14ac:dyDescent="0.25">
      <c r="A83" s="60"/>
      <c r="B83" s="128">
        <v>53</v>
      </c>
      <c r="C83" s="132">
        <f t="shared" ca="1" si="1"/>
        <v>47475</v>
      </c>
      <c r="D83" s="195">
        <f t="shared" si="2"/>
        <v>0</v>
      </c>
      <c r="E83" s="194">
        <f t="shared" si="3"/>
        <v>0</v>
      </c>
      <c r="F83" s="279">
        <f t="shared" si="4"/>
        <v>0</v>
      </c>
      <c r="G83" s="279"/>
      <c r="H83" s="134"/>
      <c r="I83" s="134"/>
      <c r="J83" s="4"/>
      <c r="L83" s="122"/>
      <c r="AC83" s="4"/>
    </row>
    <row r="84" spans="1:29" ht="13.5" thickBot="1" x14ac:dyDescent="0.25">
      <c r="A84" s="60"/>
      <c r="B84" s="128">
        <v>54</v>
      </c>
      <c r="C84" s="132">
        <f t="shared" ca="1" si="1"/>
        <v>47506</v>
      </c>
      <c r="D84" s="195">
        <f t="shared" si="2"/>
        <v>0</v>
      </c>
      <c r="E84" s="194">
        <f t="shared" si="3"/>
        <v>0</v>
      </c>
      <c r="F84" s="279">
        <f t="shared" si="4"/>
        <v>0</v>
      </c>
      <c r="G84" s="279"/>
      <c r="H84" s="134"/>
      <c r="I84" s="134"/>
      <c r="J84" s="4"/>
      <c r="L84" s="122"/>
      <c r="AC84" s="4"/>
    </row>
    <row r="85" spans="1:29" ht="13.5" thickBot="1" x14ac:dyDescent="0.25">
      <c r="A85" s="60"/>
      <c r="B85" s="128">
        <v>55</v>
      </c>
      <c r="C85" s="132">
        <f t="shared" ca="1" si="1"/>
        <v>47537</v>
      </c>
      <c r="D85" s="195">
        <f t="shared" si="2"/>
        <v>0</v>
      </c>
      <c r="E85" s="194">
        <f t="shared" si="3"/>
        <v>0</v>
      </c>
      <c r="F85" s="279">
        <f t="shared" si="4"/>
        <v>0</v>
      </c>
      <c r="G85" s="279"/>
      <c r="H85" s="134"/>
      <c r="I85" s="134"/>
      <c r="J85" s="4"/>
      <c r="L85" s="122"/>
      <c r="AC85" s="4"/>
    </row>
    <row r="86" spans="1:29" ht="13.5" thickBot="1" x14ac:dyDescent="0.25">
      <c r="A86" s="60"/>
      <c r="B86" s="128">
        <v>56</v>
      </c>
      <c r="C86" s="132">
        <f t="shared" ca="1" si="1"/>
        <v>47565</v>
      </c>
      <c r="D86" s="195">
        <f t="shared" si="2"/>
        <v>0</v>
      </c>
      <c r="E86" s="194">
        <f t="shared" si="3"/>
        <v>0</v>
      </c>
      <c r="F86" s="279">
        <f t="shared" si="4"/>
        <v>0</v>
      </c>
      <c r="G86" s="279"/>
      <c r="H86" s="134"/>
      <c r="I86" s="134"/>
      <c r="J86" s="4"/>
      <c r="L86" s="122"/>
      <c r="AC86" s="4"/>
    </row>
    <row r="87" spans="1:29" ht="13.5" thickBot="1" x14ac:dyDescent="0.25">
      <c r="A87" s="60"/>
      <c r="B87" s="128">
        <v>57</v>
      </c>
      <c r="C87" s="132">
        <f t="shared" ca="1" si="1"/>
        <v>47596</v>
      </c>
      <c r="D87" s="195">
        <f t="shared" si="2"/>
        <v>0</v>
      </c>
      <c r="E87" s="194">
        <f t="shared" si="3"/>
        <v>0</v>
      </c>
      <c r="F87" s="279">
        <f t="shared" si="4"/>
        <v>0</v>
      </c>
      <c r="G87" s="279"/>
      <c r="H87" s="134"/>
      <c r="I87" s="134"/>
      <c r="J87" s="4"/>
      <c r="L87" s="122"/>
      <c r="AC87" s="4"/>
    </row>
    <row r="88" spans="1:29" ht="13.5" thickBot="1" x14ac:dyDescent="0.25">
      <c r="A88" s="60"/>
      <c r="B88" s="128">
        <v>58</v>
      </c>
      <c r="C88" s="132">
        <f t="shared" ca="1" si="1"/>
        <v>47626</v>
      </c>
      <c r="D88" s="195">
        <f t="shared" si="2"/>
        <v>0</v>
      </c>
      <c r="E88" s="194">
        <f t="shared" si="3"/>
        <v>0</v>
      </c>
      <c r="F88" s="279">
        <f t="shared" si="4"/>
        <v>0</v>
      </c>
      <c r="G88" s="279"/>
      <c r="H88" s="134"/>
      <c r="I88" s="134"/>
      <c r="J88" s="4"/>
      <c r="L88" s="122"/>
      <c r="AC88" s="4"/>
    </row>
    <row r="89" spans="1:29" ht="13.5" thickBot="1" x14ac:dyDescent="0.25">
      <c r="A89" s="60"/>
      <c r="B89" s="128">
        <v>59</v>
      </c>
      <c r="C89" s="132">
        <f t="shared" ca="1" si="1"/>
        <v>47657</v>
      </c>
      <c r="D89" s="195">
        <f t="shared" si="2"/>
        <v>0</v>
      </c>
      <c r="E89" s="194">
        <f t="shared" si="3"/>
        <v>0</v>
      </c>
      <c r="F89" s="279">
        <f t="shared" si="4"/>
        <v>0</v>
      </c>
      <c r="G89" s="279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47687</v>
      </c>
      <c r="D90" s="195">
        <f t="shared" si="2"/>
        <v>0</v>
      </c>
      <c r="E90" s="194">
        <f t="shared" si="3"/>
        <v>0</v>
      </c>
      <c r="F90" s="280">
        <f t="shared" si="4"/>
        <v>0</v>
      </c>
      <c r="G90" s="280"/>
      <c r="H90" s="134"/>
      <c r="I90" s="134"/>
      <c r="J90" s="4"/>
      <c r="L90" s="122"/>
      <c r="AC90" s="4"/>
    </row>
    <row r="91" spans="1:29" ht="16.5" thickBot="1" x14ac:dyDescent="0.25">
      <c r="A91" s="60"/>
      <c r="B91" s="241" t="s">
        <v>3</v>
      </c>
      <c r="C91" s="276"/>
      <c r="D91" s="202">
        <f>SUM(D31:D90)</f>
        <v>219999.99999999997</v>
      </c>
      <c r="E91" s="202">
        <f>SUM(E31:E90)</f>
        <v>60572.957483369893</v>
      </c>
      <c r="F91" s="277">
        <f>SUM(F31:G90)</f>
        <v>280572.95748336986</v>
      </c>
      <c r="G91" s="278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45" t="s">
        <v>5</v>
      </c>
      <c r="F93" s="245"/>
      <c r="G93" s="245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algorithmName="SHA-512" hashValue="xHxKLVno2adL3jtoM2WiYnBJTmQ/npB40oGj7HzLTu7oT8OdUvipl2EKl6IGD0WZcKNFh8P9OIcpcQflbki7Gw==" saltValue="9FvxJTwN8EPtg0Posy4fTA==" spinCount="100000" sheet="1" objects="1" scenarios="1" selectLockedCells="1"/>
  <dataConsolidate/>
  <mergeCells count="88">
    <mergeCell ref="B7:E7"/>
    <mergeCell ref="H1:I1"/>
    <mergeCell ref="H2:I2"/>
    <mergeCell ref="F3:F4"/>
    <mergeCell ref="H3:I3"/>
    <mergeCell ref="B5:E5"/>
    <mergeCell ref="B9:E9"/>
    <mergeCell ref="G9:H9"/>
    <mergeCell ref="B13:E13"/>
    <mergeCell ref="G13:H13"/>
    <mergeCell ref="B15:E15"/>
    <mergeCell ref="G15:H15"/>
    <mergeCell ref="B11:E11"/>
    <mergeCell ref="B17:E17"/>
    <mergeCell ref="G17:H17"/>
    <mergeCell ref="B20:E20"/>
    <mergeCell ref="G20:H20"/>
    <mergeCell ref="B22:E22"/>
    <mergeCell ref="G22:H22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</mergeCells>
  <dataValidations count="1">
    <dataValidation type="list" showInputMessage="1" showErrorMessage="1" sqref="H2:I2" xr:uid="{00000000-0002-0000-0600-000000000000}">
      <formula1>$K$18:$K$21</formula1>
    </dataValidation>
  </dataValidations>
  <pageMargins left="0.39370078740157483" right="0.35433070866141736" top="0.59055118110236227" bottom="0.59055118110236227" header="0.51181102362204722" footer="0.51181102362204722"/>
  <pageSetup paperSize="9" scale="63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7" t="s">
        <v>80</v>
      </c>
      <c r="I1" s="287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61" t="s">
        <v>70</v>
      </c>
      <c r="I2" s="262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3" t="e">
        <f>IF(E3="x","Збільшіть суму",IF(E3="y","Зменшіть суму",""))</f>
        <v>#N/A</v>
      </c>
      <c r="G3" s="77">
        <f>Назви!B35</f>
        <v>30.4</v>
      </c>
      <c r="H3" s="265" t="e">
        <f>VLOOKUP(H$2,Лист2!$A:$H,7,0)</f>
        <v>#N/A</v>
      </c>
      <c r="I3" s="266"/>
      <c r="J3" s="50"/>
    </row>
    <row r="4" spans="1:29" ht="9" customHeight="1" thickBot="1" x14ac:dyDescent="0.25">
      <c r="A4" s="2"/>
      <c r="B4" s="2"/>
      <c r="C4" s="2"/>
      <c r="D4" s="2"/>
      <c r="E4" s="139"/>
      <c r="F4" s="263"/>
      <c r="G4" s="42"/>
      <c r="H4" s="188"/>
      <c r="I4" s="50"/>
      <c r="J4" s="50"/>
      <c r="K4" s="69"/>
    </row>
    <row r="5" spans="1:29" ht="21" customHeight="1" thickBot="1" x14ac:dyDescent="0.25">
      <c r="A5" s="1"/>
      <c r="B5" s="288" t="s">
        <v>82</v>
      </c>
      <c r="C5" s="289"/>
      <c r="D5" s="289"/>
      <c r="E5" s="290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0" t="s">
        <v>81</v>
      </c>
      <c r="C7" s="271"/>
      <c r="D7" s="271"/>
      <c r="E7" s="272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0" t="str">
        <f>Назви!A3</f>
        <v>Процентна ставка базова, % річних</v>
      </c>
      <c r="C9" s="271">
        <f>Назви!B3</f>
        <v>0</v>
      </c>
      <c r="D9" s="271">
        <f>Назви!C3</f>
        <v>0</v>
      </c>
      <c r="E9" s="272">
        <f>Назви!D3</f>
        <v>0</v>
      </c>
      <c r="F9" s="38" t="e">
        <f>VLOOKUP(H$2,Лист2!$A:$H,4,0)</f>
        <v>#N/A</v>
      </c>
      <c r="G9" s="283"/>
      <c r="H9" s="283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0" t="str">
        <f>Назви!A7</f>
        <v>Разовий страховий тариф, %</v>
      </c>
      <c r="C11" s="271">
        <f>Назви!B7</f>
        <v>0</v>
      </c>
      <c r="D11" s="271">
        <f>Назви!C7</f>
        <v>0</v>
      </c>
      <c r="E11" s="272">
        <f>Назви!D7</f>
        <v>0</v>
      </c>
      <c r="F11" s="38" t="e">
        <f>VLOOKUP(H$2,Лист2!$A:$H,5,0)</f>
        <v>#N/A</v>
      </c>
      <c r="G11" s="283"/>
      <c r="H11" s="283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0" t="str">
        <f>Назви!A9</f>
        <v xml:space="preserve">Щомісячна плата за обслуговування кредитної заборгованості, % </v>
      </c>
      <c r="C13" s="271">
        <f>Назви!B9</f>
        <v>0</v>
      </c>
      <c r="D13" s="271">
        <f>Назви!C9</f>
        <v>0</v>
      </c>
      <c r="E13" s="272">
        <f>Назви!D9</f>
        <v>0</v>
      </c>
      <c r="F13" s="38" t="e">
        <f>VLOOKUP(H$2,Лист2!$A:$H,6,0)</f>
        <v>#N/A</v>
      </c>
      <c r="G13" s="283"/>
      <c r="H13" s="283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0" t="str">
        <f>Назви!A11</f>
        <v>Термін кредитування (міс.)</v>
      </c>
      <c r="C15" s="271">
        <f>Назви!B11</f>
        <v>0</v>
      </c>
      <c r="D15" s="271">
        <f>Назви!C11</f>
        <v>0</v>
      </c>
      <c r="E15" s="272">
        <f>Назви!D11</f>
        <v>0</v>
      </c>
      <c r="F15" s="64" t="e">
        <f>VLOOKUP(H$2,Лист2!$A:$H,3,0)</f>
        <v>#N/A</v>
      </c>
      <c r="G15" s="283"/>
      <c r="H15" s="283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3" t="str">
        <f>Назви!A14</f>
        <v>Орієнтовний платіж, грн.</v>
      </c>
      <c r="C18" s="274">
        <f>Назви!B14</f>
        <v>0</v>
      </c>
      <c r="D18" s="274">
        <f>Назви!C14</f>
        <v>0</v>
      </c>
      <c r="E18" s="275">
        <f>Назви!D14</f>
        <v>0</v>
      </c>
      <c r="F18" s="13" t="e">
        <f>PMT(F9/12,F15,-E17)+F13*E17</f>
        <v>#N/A</v>
      </c>
      <c r="G18" s="284"/>
      <c r="H18" s="285"/>
      <c r="I18" s="133"/>
      <c r="J18" s="52"/>
      <c r="K18" s="162" t="str">
        <f>Лист2!A5</f>
        <v xml:space="preserve">Цільовий,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 xml:space="preserve">Цільовий,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3" t="str">
        <f>Назви!A16</f>
        <v>Орієнтовні загальні витрати за кредитом, грн.</v>
      </c>
      <c r="C20" s="274">
        <f>Назви!B16</f>
        <v>0</v>
      </c>
      <c r="D20" s="274">
        <f>Назви!C16</f>
        <v>0</v>
      </c>
      <c r="E20" s="275">
        <f>Назви!D16</f>
        <v>0</v>
      </c>
      <c r="F20" s="13" t="e">
        <f>G89-E3</f>
        <v>#N/A</v>
      </c>
      <c r="G20" s="286"/>
      <c r="H20" s="286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3" t="str">
        <f>Назви!A18</f>
        <v>Орієнтовна загальна вартість кредиту, грн.</v>
      </c>
      <c r="C22" s="274">
        <f>Назви!B18</f>
        <v>0</v>
      </c>
      <c r="D22" s="274">
        <f>Назви!C18</f>
        <v>0</v>
      </c>
      <c r="E22" s="275">
        <f>Назви!D18</f>
        <v>0</v>
      </c>
      <c r="F22" s="13" t="e">
        <f>E3+F20</f>
        <v>#N/A</v>
      </c>
      <c r="G22" s="283"/>
      <c r="H22" s="283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3" t="str">
        <f>Назви!A20</f>
        <v>Реальна річна процентна ставка, %</v>
      </c>
      <c r="C24" s="274"/>
      <c r="D24" s="274"/>
      <c r="E24" s="275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2" t="str">
        <f>Назви!A29</f>
        <v>Орієнтовний порядок повернення кредиту</v>
      </c>
      <c r="C26" s="253"/>
      <c r="D26" s="253"/>
      <c r="E26" s="253"/>
      <c r="F26" s="253"/>
      <c r="G26" s="253"/>
      <c r="H26" s="25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55" t="str">
        <f>Назви!F30</f>
        <v>Сума платежу за розрахунковий період, грн.</v>
      </c>
      <c r="H27" s="25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1" t="e">
        <f>-1*E3</f>
        <v>#N/A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45892</v>
      </c>
      <c r="D29" s="193" t="e">
        <f>IF(B29&lt;$F$15,$F$18-E29-F29,IF(B29=$F$15,$E$17-SUM($D$28:D28),0))</f>
        <v>#N/A</v>
      </c>
      <c r="E29" s="194" t="e">
        <f>IF(B29&lt;=$F$15,(E$17*(VLOOKUP($H$2,Лист2!$A:$O,12,0)-(B29-1)*VLOOKUP($H$2,Лист2!$A:$O,13,0))),0)</f>
        <v>#N/A</v>
      </c>
      <c r="F29" s="194" t="e">
        <f>ROUND(E$17*F$9*30/365,2)</f>
        <v>#N/A</v>
      </c>
      <c r="G29" s="279" t="e">
        <f>SUM(D29:F29)</f>
        <v>#N/A</v>
      </c>
      <c r="H29" s="279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45923</v>
      </c>
      <c r="D30" s="195" t="e">
        <f>IF(B30&lt;$F$15,$F$18-E30-F30,IF(B30=$F$15,$E$17-SUM($D$28:D29),0))</f>
        <v>#N/A</v>
      </c>
      <c r="E30" s="196" t="e">
        <f>IF(B30&lt;=$F$15,(E$17*(VLOOKUP($H$2,Лист2!$A:$O,12,0)-(B30-1)*VLOOKUP($H$2,Лист2!$A:$O,13,0))),0)</f>
        <v>#N/A</v>
      </c>
      <c r="F30" s="197" t="e">
        <f>ROUND((E$17-SUM(D$29:D29))*F$9*30/365,2)</f>
        <v>#N/A</v>
      </c>
      <c r="G30" s="279" t="e">
        <f t="shared" ref="G30:G88" si="1">SUM(D30:F30)</f>
        <v>#N/A</v>
      </c>
      <c r="H30" s="279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45953</v>
      </c>
      <c r="D31" s="195" t="e">
        <f>IF(B31&lt;$F$15,$F$18-E31-F31,IF(B31=$F$15,$E$17-SUM($D$28:D30),0))</f>
        <v>#N/A</v>
      </c>
      <c r="E31" s="196" t="e">
        <f>IF(B31&lt;=$F$15,(E$17*(VLOOKUP($H$2,Лист2!$A:$O,12,0)-(B31-1)*VLOOKUP($H$2,Лист2!$A:$O,13,0))),0)</f>
        <v>#N/A</v>
      </c>
      <c r="F31" s="197" t="e">
        <f>ROUND((E$17-SUM(D$29:D30))*F$9*30/365,2)</f>
        <v>#N/A</v>
      </c>
      <c r="G31" s="279" t="e">
        <f t="shared" si="1"/>
        <v>#N/A</v>
      </c>
      <c r="H31" s="279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45984</v>
      </c>
      <c r="D32" s="195" t="e">
        <f>IF(B32&lt;$F$15,$F$18-E32-F32,IF(B32=$F$15,$E$17-SUM($D$28:D31),0))</f>
        <v>#N/A</v>
      </c>
      <c r="E32" s="196" t="e">
        <f>IF(B32&lt;=$F$15,(E$17*(VLOOKUP($H$2,Лист2!$A:$O,12,0)-(B32-1)*VLOOKUP($H$2,Лист2!$A:$O,13,0))),0)</f>
        <v>#N/A</v>
      </c>
      <c r="F32" s="197" t="e">
        <f>ROUND((E$17-SUM(D$29:D31))*F$9*30/365,2)</f>
        <v>#N/A</v>
      </c>
      <c r="G32" s="279" t="e">
        <f t="shared" si="1"/>
        <v>#N/A</v>
      </c>
      <c r="H32" s="279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46014</v>
      </c>
      <c r="D33" s="195" t="e">
        <f>IF(B33&lt;$F$15,$F$18-E33-F33,IF(B33=$F$15,$E$17-SUM($D$28:D32),0))</f>
        <v>#N/A</v>
      </c>
      <c r="E33" s="196" t="e">
        <f>IF(B33&lt;=$F$15,(E$17*(VLOOKUP($H$2,Лист2!$A:$O,12,0)-(B33-1)*VLOOKUP($H$2,Лист2!$A:$O,13,0))),0)</f>
        <v>#N/A</v>
      </c>
      <c r="F33" s="197" t="e">
        <f>ROUND((E$17-SUM(D$29:D32))*F$9*30/365,2)</f>
        <v>#N/A</v>
      </c>
      <c r="G33" s="279" t="e">
        <f t="shared" si="1"/>
        <v>#N/A</v>
      </c>
      <c r="H33" s="279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46045</v>
      </c>
      <c r="D34" s="195" t="e">
        <f>IF(B34&lt;$F$15,$F$18-E34-F34,IF(B34=$F$15,$E$17-SUM($D$28:D33),0))</f>
        <v>#N/A</v>
      </c>
      <c r="E34" s="196" t="e">
        <f>IF(B34&lt;=$F$15,(E$17*(VLOOKUP($H$2,Лист2!$A:$O,12,0)-(B34-1)*VLOOKUP($H$2,Лист2!$A:$O,13,0))),0)</f>
        <v>#N/A</v>
      </c>
      <c r="F34" s="197" t="e">
        <f>ROUND((E$17-SUM(D$29:D33))*F$9*30/365,2)</f>
        <v>#N/A</v>
      </c>
      <c r="G34" s="279" t="e">
        <f t="shared" si="1"/>
        <v>#N/A</v>
      </c>
      <c r="H34" s="279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46076</v>
      </c>
      <c r="D35" s="195" t="e">
        <f>IF(B35&lt;$F$15,$F$18-E35-F35,IF(B35=$F$15,$E$17-SUM($D$28:D34),0))</f>
        <v>#N/A</v>
      </c>
      <c r="E35" s="196" t="e">
        <f>IF(B35&lt;=$F$15,(E$17*(VLOOKUP($H$2,Лист2!$A:$O,12,0)-(B35-1)*VLOOKUP($H$2,Лист2!$A:$O,13,0))),0)</f>
        <v>#N/A</v>
      </c>
      <c r="F35" s="197" t="e">
        <f>ROUND((E$17-SUM(D$29:D34))*F$9*30/365,2)</f>
        <v>#N/A</v>
      </c>
      <c r="G35" s="279" t="e">
        <f t="shared" si="1"/>
        <v>#N/A</v>
      </c>
      <c r="H35" s="279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46104</v>
      </c>
      <c r="D36" s="195" t="e">
        <f>IF(B36&lt;$F$15,$F$18-E36-F36,IF(B36=$F$15,$E$17-SUM($D$28:D35),0))</f>
        <v>#N/A</v>
      </c>
      <c r="E36" s="196" t="e">
        <f>IF(B36&lt;=$F$15,(E$17*(VLOOKUP($H$2,Лист2!$A:$O,12,0)-(B36-1)*VLOOKUP($H$2,Лист2!$A:$O,13,0))),0)</f>
        <v>#N/A</v>
      </c>
      <c r="F36" s="197" t="e">
        <f>ROUND((E$17-SUM(D$29:D35))*F$9*30/365,2)</f>
        <v>#N/A</v>
      </c>
      <c r="G36" s="279" t="e">
        <f t="shared" si="1"/>
        <v>#N/A</v>
      </c>
      <c r="H36" s="279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46135</v>
      </c>
      <c r="D37" s="195" t="e">
        <f>IF(B37&lt;$F$15,$F$18-E37-F37,IF(B37=$F$15,$E$17-SUM($D$28:D36),0))</f>
        <v>#N/A</v>
      </c>
      <c r="E37" s="196" t="e">
        <f>IF(B37&lt;=$F$15,(E$17*(VLOOKUP($H$2,Лист2!$A:$O,12,0)-(B37-1)*VLOOKUP($H$2,Лист2!$A:$O,13,0))),0)</f>
        <v>#N/A</v>
      </c>
      <c r="F37" s="197" t="e">
        <f>ROUND((E$17-SUM(D$29:D36))*F$9*30/365,2)</f>
        <v>#N/A</v>
      </c>
      <c r="G37" s="279" t="e">
        <f t="shared" si="1"/>
        <v>#N/A</v>
      </c>
      <c r="H37" s="279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46165</v>
      </c>
      <c r="D38" s="195" t="e">
        <f>IF(B38&lt;$F$15,$F$18-E38-F38,IF(B38=$F$15,$E$17-SUM($D$28:D37),0))</f>
        <v>#N/A</v>
      </c>
      <c r="E38" s="196" t="e">
        <f>IF(B38&lt;=$F$15,(E$17*(VLOOKUP($H$2,Лист2!$A:$O,12,0)-(B38-1)*VLOOKUP($H$2,Лист2!$A:$O,13,0))),0)</f>
        <v>#N/A</v>
      </c>
      <c r="F38" s="197" t="e">
        <f>ROUND((E$17-SUM(D$29:D37))*F$9*30/365,2)</f>
        <v>#N/A</v>
      </c>
      <c r="G38" s="279" t="e">
        <f t="shared" si="1"/>
        <v>#N/A</v>
      </c>
      <c r="H38" s="279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46196</v>
      </c>
      <c r="D39" s="195" t="e">
        <f>IF(B39&lt;$F$15,$F$18-E39-F39,IF(B39=$F$15,$E$17-SUM($D$28:D38),0))</f>
        <v>#N/A</v>
      </c>
      <c r="E39" s="196" t="e">
        <f>IF(B39&lt;=$F$15,(E$17*(VLOOKUP($H$2,Лист2!$A:$O,12,0)-(B39-1)*VLOOKUP($H$2,Лист2!$A:$O,13,0))),0)</f>
        <v>#N/A</v>
      </c>
      <c r="F39" s="197" t="e">
        <f>ROUND((E$17-SUM(D$29:D38))*F$9*30/365,2)</f>
        <v>#N/A</v>
      </c>
      <c r="G39" s="279" t="e">
        <f t="shared" si="1"/>
        <v>#N/A</v>
      </c>
      <c r="H39" s="279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46226</v>
      </c>
      <c r="D40" s="195" t="e">
        <f>IF(B40&lt;$F$15,$F$18-E40-F40,IF(B40=$F$15,$E$17-SUM($D$28:D39),0))</f>
        <v>#N/A</v>
      </c>
      <c r="E40" s="196" t="e">
        <f>IF(B40&lt;=$F$15,(E$17*(VLOOKUP($H$2,Лист2!$A:$O,12,0)-(B40-1)*VLOOKUP($H$2,Лист2!$A:$O,13,0))),0)</f>
        <v>#N/A</v>
      </c>
      <c r="F40" s="197" t="e">
        <f>ROUND((E$17-SUM(D$29:D39))*F$9*30/365,2)</f>
        <v>#N/A</v>
      </c>
      <c r="G40" s="279" t="e">
        <f t="shared" si="1"/>
        <v>#N/A</v>
      </c>
      <c r="H40" s="279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46257</v>
      </c>
      <c r="D41" s="195" t="e">
        <f>IF(B41&lt;$F$15,$F$18-E41-F41,IF(B41=$F$15,$E$17-SUM($D$28:D40),0))</f>
        <v>#N/A</v>
      </c>
      <c r="E41" s="196" t="e">
        <f>IF(B41&lt;=$F$15,(E$17*(VLOOKUP($H$2,Лист2!$A:$O,12,0)-(B41-1)*VLOOKUP($H$2,Лист2!$A:$O,13,0))),0)</f>
        <v>#N/A</v>
      </c>
      <c r="F41" s="197" t="e">
        <f>ROUND((E$17-SUM(D$29:D40))*F$9*30/365,2)</f>
        <v>#N/A</v>
      </c>
      <c r="G41" s="279" t="e">
        <f t="shared" si="1"/>
        <v>#N/A</v>
      </c>
      <c r="H41" s="279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46288</v>
      </c>
      <c r="D42" s="195" t="e">
        <f>IF(B42&lt;$F$15,$F$18-E42-F42,IF(B42=$F$15,$E$17-SUM($D$28:D41),0))</f>
        <v>#N/A</v>
      </c>
      <c r="E42" s="196" t="e">
        <f>IF(B42&lt;=$F$15,(E$17*(VLOOKUP($H$2,Лист2!$A:$O,12,0)-(B42-1)*VLOOKUP($H$2,Лист2!$A:$O,13,0))),0)</f>
        <v>#N/A</v>
      </c>
      <c r="F42" s="197" t="e">
        <f>ROUND((E$17-SUM(D$29:D41))*F$9*30/365,2)</f>
        <v>#N/A</v>
      </c>
      <c r="G42" s="279" t="e">
        <f t="shared" si="1"/>
        <v>#N/A</v>
      </c>
      <c r="H42" s="279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46318</v>
      </c>
      <c r="D43" s="195" t="e">
        <f>IF(B43&lt;$F$15,$F$18-E43-F43,IF(B43=$F$15,$E$17-SUM($D$28:D42),0))</f>
        <v>#N/A</v>
      </c>
      <c r="E43" s="196" t="e">
        <f>IF(B43&lt;=$F$15,(E$17*(VLOOKUP($H$2,Лист2!$A:$O,12,0)-(B43-1)*VLOOKUP($H$2,Лист2!$A:$O,13,0))),0)</f>
        <v>#N/A</v>
      </c>
      <c r="F43" s="197" t="e">
        <f>ROUND((E$17-SUM(D$29:D42))*F$9*30/365,2)</f>
        <v>#N/A</v>
      </c>
      <c r="G43" s="279" t="e">
        <f t="shared" si="1"/>
        <v>#N/A</v>
      </c>
      <c r="H43" s="279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46349</v>
      </c>
      <c r="D44" s="195" t="e">
        <f>IF(B44&lt;$F$15,$F$18-E44-F44,IF(B44=$F$15,$E$17-SUM($D$28:D43),0))</f>
        <v>#N/A</v>
      </c>
      <c r="E44" s="196" t="e">
        <f>IF(B44&lt;=$F$15,(E$17*(VLOOKUP($H$2,Лист2!$A:$O,12,0)-(B44-1)*VLOOKUP($H$2,Лист2!$A:$O,13,0))),0)</f>
        <v>#N/A</v>
      </c>
      <c r="F44" s="197" t="e">
        <f>ROUND((E$17-SUM(D$29:D43))*F$9*30/365,2)</f>
        <v>#N/A</v>
      </c>
      <c r="G44" s="279" t="e">
        <f t="shared" si="1"/>
        <v>#N/A</v>
      </c>
      <c r="H44" s="279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46379</v>
      </c>
      <c r="D45" s="195" t="e">
        <f>IF(B45&lt;$F$15,$F$18-E45-F45,IF(B45=$F$15,$E$17-SUM($D$28:D44),0))</f>
        <v>#N/A</v>
      </c>
      <c r="E45" s="196" t="e">
        <f>IF(B45&lt;=$F$15,(E$17*(VLOOKUP($H$2,Лист2!$A:$O,12,0)-(B45-1)*VLOOKUP($H$2,Лист2!$A:$O,13,0))),0)</f>
        <v>#N/A</v>
      </c>
      <c r="F45" s="197" t="e">
        <f>ROUND((E$17-SUM(D$29:D44))*F$9*30/365,2)</f>
        <v>#N/A</v>
      </c>
      <c r="G45" s="279" t="e">
        <f t="shared" si="1"/>
        <v>#N/A</v>
      </c>
      <c r="H45" s="279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46410</v>
      </c>
      <c r="D46" s="195" t="e">
        <f>IF(B46&lt;$F$15,$F$18-E46-F46,IF(B46=$F$15,$E$17-SUM($D$28:D45),0))</f>
        <v>#N/A</v>
      </c>
      <c r="E46" s="196" t="e">
        <f>IF(B46&lt;=$F$15,(E$17*(VLOOKUP($H$2,Лист2!$A:$O,12,0)-(B46-1)*VLOOKUP($H$2,Лист2!$A:$O,13,0))),0)</f>
        <v>#N/A</v>
      </c>
      <c r="F46" s="197" t="e">
        <f>ROUND((E$17-SUM(D$29:D45))*F$9*30/365,2)</f>
        <v>#N/A</v>
      </c>
      <c r="G46" s="279" t="e">
        <f t="shared" si="1"/>
        <v>#N/A</v>
      </c>
      <c r="H46" s="279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46441</v>
      </c>
      <c r="D47" s="195" t="e">
        <f>IF(B47&lt;$F$15,$F$18-E47-F47,IF(B47=$F$15,$E$17-SUM($D$28:D46),0))</f>
        <v>#N/A</v>
      </c>
      <c r="E47" s="196" t="e">
        <f>IF(B47&lt;=$F$15,(E$17*(VLOOKUP($H$2,Лист2!$A:$O,12,0)-(B47-1)*VLOOKUP($H$2,Лист2!$A:$O,13,0))),0)</f>
        <v>#N/A</v>
      </c>
      <c r="F47" s="197" t="e">
        <f>ROUND((E$17-SUM(D$29:D46))*F$9*30/365,2)</f>
        <v>#N/A</v>
      </c>
      <c r="G47" s="279" t="e">
        <f t="shared" si="1"/>
        <v>#N/A</v>
      </c>
      <c r="H47" s="279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46469</v>
      </c>
      <c r="D48" s="195" t="e">
        <f>IF(B48&lt;$F$15,$F$18-E48-F48,IF(B48=$F$15,$E$17-SUM($D$28:D47),0))</f>
        <v>#N/A</v>
      </c>
      <c r="E48" s="196" t="e">
        <f>IF(B48&lt;=$F$15,(E$17*(VLOOKUP($H$2,Лист2!$A:$O,12,0)-(B48-1)*VLOOKUP($H$2,Лист2!$A:$O,13,0))),0)</f>
        <v>#N/A</v>
      </c>
      <c r="F48" s="197" t="e">
        <f>ROUND((E$17-SUM(D$29:D47))*F$9*30/365,2)</f>
        <v>#N/A</v>
      </c>
      <c r="G48" s="279" t="e">
        <f t="shared" si="1"/>
        <v>#N/A</v>
      </c>
      <c r="H48" s="279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46500</v>
      </c>
      <c r="D49" s="195" t="e">
        <f>IF(B49&lt;$F$15,$F$18-E49-F49,IF(B49=$F$15,$E$17-SUM($D$28:D48),0))</f>
        <v>#N/A</v>
      </c>
      <c r="E49" s="196" t="e">
        <f>IF(B49&lt;=$F$15,(E$17*(VLOOKUP($H$2,Лист2!$A:$O,12,0)-(B49-1)*VLOOKUP($H$2,Лист2!$A:$O,13,0))),0)</f>
        <v>#N/A</v>
      </c>
      <c r="F49" s="197" t="e">
        <f>ROUND((E$17-SUM(D$29:D48))*F$9*30/365,2)</f>
        <v>#N/A</v>
      </c>
      <c r="G49" s="279" t="e">
        <f t="shared" si="1"/>
        <v>#N/A</v>
      </c>
      <c r="H49" s="279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46530</v>
      </c>
      <c r="D50" s="195" t="e">
        <f>IF(B50&lt;$F$15,$F$18-E50-F50,IF(B50=$F$15,$E$17-SUM($D$28:D49),0))</f>
        <v>#N/A</v>
      </c>
      <c r="E50" s="196" t="e">
        <f>IF(B50&lt;=$F$15,(E$17*(VLOOKUP($H$2,Лист2!$A:$O,12,0)-(B50-1)*VLOOKUP($H$2,Лист2!$A:$O,13,0))),0)</f>
        <v>#N/A</v>
      </c>
      <c r="F50" s="197" t="e">
        <f>ROUND((E$17-SUM(D$29:D49))*F$9*30/365,2)</f>
        <v>#N/A</v>
      </c>
      <c r="G50" s="279" t="e">
        <f t="shared" si="1"/>
        <v>#N/A</v>
      </c>
      <c r="H50" s="279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46561</v>
      </c>
      <c r="D51" s="195" t="e">
        <f>IF(B51&lt;$F$15,$F$18-E51-F51,IF(B51=$F$15,$E$17-SUM($D$28:D50),0))</f>
        <v>#N/A</v>
      </c>
      <c r="E51" s="196" t="e">
        <f>IF(B51&lt;=$F$15,(E$17*(VLOOKUP($H$2,Лист2!$A:$O,12,0)-(B51-1)*VLOOKUP($H$2,Лист2!$A:$O,13,0))),0)</f>
        <v>#N/A</v>
      </c>
      <c r="F51" s="197" t="e">
        <f>ROUND((E$17-SUM(D$29:D50))*F$9*30/365,2)</f>
        <v>#N/A</v>
      </c>
      <c r="G51" s="279" t="e">
        <f t="shared" si="1"/>
        <v>#N/A</v>
      </c>
      <c r="H51" s="279"/>
      <c r="I51" s="3"/>
    </row>
    <row r="52" spans="1:11" x14ac:dyDescent="0.2">
      <c r="A52" s="60"/>
      <c r="B52" s="128">
        <v>24</v>
      </c>
      <c r="C52" s="132">
        <f t="shared" ca="1" si="0"/>
        <v>46591</v>
      </c>
      <c r="D52" s="195" t="e">
        <f>IF(B52&lt;$F$15,$F$18-E52-F52,IF(B52=$F$15,$E$17-SUM($D$28:D51),0))</f>
        <v>#N/A</v>
      </c>
      <c r="E52" s="196" t="e">
        <f>IF(B52&lt;=$F$15,(E$17*(VLOOKUP($H$2,Лист2!$A:$O,12,0)-(B52-1)*VLOOKUP($H$2,Лист2!$A:$O,13,0))),0)</f>
        <v>#N/A</v>
      </c>
      <c r="F52" s="197" t="e">
        <f>ROUND((E$17-SUM(D$29:D51))*F$9*30/365,2)</f>
        <v>#N/A</v>
      </c>
      <c r="G52" s="279" t="e">
        <f t="shared" si="1"/>
        <v>#N/A</v>
      </c>
      <c r="H52" s="279"/>
      <c r="I52" s="3"/>
    </row>
    <row r="53" spans="1:11" x14ac:dyDescent="0.2">
      <c r="A53" s="60"/>
      <c r="B53" s="128">
        <v>25</v>
      </c>
      <c r="C53" s="132">
        <f t="shared" ca="1" si="0"/>
        <v>46622</v>
      </c>
      <c r="D53" s="195" t="e">
        <f>IF(B53&lt;$F$15,$F$18-E53-F53,IF(B53=$F$15,$E$17-SUM($D$28:D52),0))</f>
        <v>#N/A</v>
      </c>
      <c r="E53" s="196" t="e">
        <f>IF(B53&lt;=$F$15,(E$17*(VLOOKUP($H$2,Лист2!$A:$O,12,0)-(B53-1)*VLOOKUP($H$2,Лист2!$A:$O,13,0))),0)</f>
        <v>#N/A</v>
      </c>
      <c r="F53" s="197" t="e">
        <f>ROUND((E$17-SUM(D$29:D52))*F$9*30/365,2)</f>
        <v>#N/A</v>
      </c>
      <c r="G53" s="279" t="e">
        <f t="shared" si="1"/>
        <v>#N/A</v>
      </c>
      <c r="H53" s="279"/>
      <c r="I53" s="3"/>
    </row>
    <row r="54" spans="1:11" x14ac:dyDescent="0.2">
      <c r="A54" s="60"/>
      <c r="B54" s="128">
        <v>26</v>
      </c>
      <c r="C54" s="132">
        <f t="shared" ca="1" si="0"/>
        <v>46653</v>
      </c>
      <c r="D54" s="195" t="e">
        <f>IF(B54&lt;$F$15,$F$18-E54-F54,IF(B54=$F$15,$E$17-SUM($D$28:D53),0))</f>
        <v>#N/A</v>
      </c>
      <c r="E54" s="196" t="e">
        <f>IF(B54&lt;=$F$15,(E$17*(VLOOKUP($H$2,Лист2!$A:$O,12,0)-(B54-1)*VLOOKUP($H$2,Лист2!$A:$O,13,0))),0)</f>
        <v>#N/A</v>
      </c>
      <c r="F54" s="197" t="e">
        <f>ROUND((E$17-SUM(D$29:D53))*F$9*30/365,2)</f>
        <v>#N/A</v>
      </c>
      <c r="G54" s="279" t="e">
        <f t="shared" si="1"/>
        <v>#N/A</v>
      </c>
      <c r="H54" s="279"/>
      <c r="I54" s="3"/>
    </row>
    <row r="55" spans="1:11" x14ac:dyDescent="0.2">
      <c r="A55" s="60"/>
      <c r="B55" s="128">
        <v>27</v>
      </c>
      <c r="C55" s="132">
        <f t="shared" ca="1" si="0"/>
        <v>46683</v>
      </c>
      <c r="D55" s="195" t="e">
        <f>IF(B55&lt;$F$15,$F$18-E55-F55,IF(B55=$F$15,$E$17-SUM($D$28:D54),0))</f>
        <v>#N/A</v>
      </c>
      <c r="E55" s="196" t="e">
        <f>IF(B55&lt;=$F$15,(E$17*(VLOOKUP($H$2,Лист2!$A:$O,12,0)-(B55-1)*VLOOKUP($H$2,Лист2!$A:$O,13,0))),0)</f>
        <v>#N/A</v>
      </c>
      <c r="F55" s="197" t="e">
        <f>ROUND((E$17-SUM(D$29:D54))*F$9*30/365,2)</f>
        <v>#N/A</v>
      </c>
      <c r="G55" s="279" t="e">
        <f t="shared" si="1"/>
        <v>#N/A</v>
      </c>
      <c r="H55" s="279"/>
      <c r="I55" s="3"/>
    </row>
    <row r="56" spans="1:11" x14ac:dyDescent="0.2">
      <c r="A56" s="60"/>
      <c r="B56" s="128">
        <v>28</v>
      </c>
      <c r="C56" s="132">
        <f t="shared" ca="1" si="0"/>
        <v>46714</v>
      </c>
      <c r="D56" s="195" t="e">
        <f>IF(B56&lt;$F$15,$F$18-E56-F56,IF(B56=$F$15,$E$17-SUM($D$28:D55),0))</f>
        <v>#N/A</v>
      </c>
      <c r="E56" s="196" t="e">
        <f>IF(B56&lt;=$F$15,(E$17*(VLOOKUP($H$2,Лист2!$A:$O,12,0)-(B56-1)*VLOOKUP($H$2,Лист2!$A:$O,13,0))),0)</f>
        <v>#N/A</v>
      </c>
      <c r="F56" s="197" t="e">
        <f>ROUND((E$17-SUM(D$29:D55))*F$9*30/365,2)</f>
        <v>#N/A</v>
      </c>
      <c r="G56" s="279" t="e">
        <f t="shared" si="1"/>
        <v>#N/A</v>
      </c>
      <c r="H56" s="279"/>
      <c r="I56" s="3"/>
    </row>
    <row r="57" spans="1:11" x14ac:dyDescent="0.2">
      <c r="A57" s="60"/>
      <c r="B57" s="128">
        <v>29</v>
      </c>
      <c r="C57" s="132">
        <f t="shared" ca="1" si="0"/>
        <v>46744</v>
      </c>
      <c r="D57" s="195" t="e">
        <f>IF(B57&lt;$F$15,$F$18-E57-F57,IF(B57=$F$15,$E$17-SUM($D$28:D56),0))</f>
        <v>#N/A</v>
      </c>
      <c r="E57" s="196" t="e">
        <f>IF(B57&lt;=$F$15,(E$17*(VLOOKUP($H$2,Лист2!$A:$O,12,0)-(B57-1)*VLOOKUP($H$2,Лист2!$A:$O,13,0))),0)</f>
        <v>#N/A</v>
      </c>
      <c r="F57" s="197" t="e">
        <f>ROUND((E$17-SUM(D$29:D56))*F$9*30/365,2)</f>
        <v>#N/A</v>
      </c>
      <c r="G57" s="279" t="e">
        <f t="shared" si="1"/>
        <v>#N/A</v>
      </c>
      <c r="H57" s="279"/>
      <c r="I57" s="3"/>
    </row>
    <row r="58" spans="1:11" x14ac:dyDescent="0.2">
      <c r="A58" s="60">
        <v>25</v>
      </c>
      <c r="B58" s="128">
        <v>30</v>
      </c>
      <c r="C58" s="132">
        <f t="shared" ca="1" si="0"/>
        <v>46775</v>
      </c>
      <c r="D58" s="195" t="e">
        <f>IF(B58&lt;$F$15,$F$18-E58-F58,IF(B58=$F$15,$E$17-SUM($D$28:D57),0))</f>
        <v>#N/A</v>
      </c>
      <c r="E58" s="196" t="e">
        <f>IF(B58&lt;=$F$15,(E$17*(VLOOKUP($H$2,Лист2!$A:$O,12,0)-(B58-1)*VLOOKUP($H$2,Лист2!$A:$O,13,0))),0)</f>
        <v>#N/A</v>
      </c>
      <c r="F58" s="197" t="e">
        <f>ROUND((E$17-SUM(D$29:D57))*F$9*30/365,2)</f>
        <v>#N/A</v>
      </c>
      <c r="G58" s="279" t="e">
        <f t="shared" si="1"/>
        <v>#N/A</v>
      </c>
      <c r="H58" s="279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46806</v>
      </c>
      <c r="D59" s="195" t="e">
        <f>IF(B59&lt;$F$15,$F$18-E59-F59,IF(B59=$F$15,$E$17-SUM($D$28:D58),0))</f>
        <v>#N/A</v>
      </c>
      <c r="E59" s="196" t="e">
        <f>IF(B59&lt;=$F$15,(E$17*(VLOOKUP($H$2,Лист2!$A:$O,12,0)-(B59-1)*VLOOKUP($H$2,Лист2!$A:$O,13,0))),0)</f>
        <v>#N/A</v>
      </c>
      <c r="F59" s="197" t="e">
        <f>ROUND((E$17-SUM(D$29:D58))*F$9*30/365,2)</f>
        <v>#N/A</v>
      </c>
      <c r="G59" s="279" t="e">
        <f t="shared" si="1"/>
        <v>#N/A</v>
      </c>
      <c r="H59" s="279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46835</v>
      </c>
      <c r="D60" s="195" t="e">
        <f>IF(B60&lt;$F$15,$F$18-E60-F60,IF(B60=$F$15,$E$17-SUM($D$28:D59),0))</f>
        <v>#N/A</v>
      </c>
      <c r="E60" s="196" t="e">
        <f>IF(B60&lt;=$F$15,(E$17*(VLOOKUP($H$2,Лист2!$A:$O,12,0)-(B60-1)*VLOOKUP($H$2,Лист2!$A:$O,13,0))),0)</f>
        <v>#N/A</v>
      </c>
      <c r="F60" s="197" t="e">
        <f>ROUND((E$17-SUM(D$29:D59))*F$9*30/365,2)</f>
        <v>#N/A</v>
      </c>
      <c r="G60" s="279" t="e">
        <f t="shared" si="1"/>
        <v>#N/A</v>
      </c>
      <c r="H60" s="279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46866</v>
      </c>
      <c r="D61" s="195" t="e">
        <f>IF(B61&lt;$F$15,$F$18-E61-F61,IF(B61=$F$15,$E$17-SUM($D$28:D60),0))</f>
        <v>#N/A</v>
      </c>
      <c r="E61" s="196" t="e">
        <f>IF(B61&lt;=$F$15,(E$17*(VLOOKUP($H$2,Лист2!$A:$O,12,0)-(B61-1)*VLOOKUP($H$2,Лист2!$A:$O,13,0))),0)</f>
        <v>#N/A</v>
      </c>
      <c r="F61" s="197" t="e">
        <f>ROUND((E$17-SUM(D$29:D60))*F$9*30/365,2)</f>
        <v>#N/A</v>
      </c>
      <c r="G61" s="279" t="e">
        <f t="shared" si="1"/>
        <v>#N/A</v>
      </c>
      <c r="H61" s="279"/>
      <c r="I61" s="134"/>
      <c r="J61" s="134"/>
    </row>
    <row r="62" spans="1:11" x14ac:dyDescent="0.2">
      <c r="A62" s="60"/>
      <c r="B62" s="128">
        <v>34</v>
      </c>
      <c r="C62" s="132">
        <f t="shared" ca="1" si="0"/>
        <v>46896</v>
      </c>
      <c r="D62" s="195" t="e">
        <f>IF(B62&lt;$F$15,$F$18-E62-F62,IF(B62=$F$15,$E$17-SUM($D$28:D61),0))</f>
        <v>#N/A</v>
      </c>
      <c r="E62" s="196" t="e">
        <f>IF(B62&lt;=$F$15,(E$17*(VLOOKUP($H$2,Лист2!$A:$O,12,0)-(B62-1)*VLOOKUP($H$2,Лист2!$A:$O,13,0))),0)</f>
        <v>#N/A</v>
      </c>
      <c r="F62" s="197" t="e">
        <f>ROUND((E$17-SUM(D$29:D61))*F$9*30/365,2)</f>
        <v>#N/A</v>
      </c>
      <c r="G62" s="279" t="e">
        <f t="shared" si="1"/>
        <v>#N/A</v>
      </c>
      <c r="H62" s="279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46927</v>
      </c>
      <c r="D63" s="195" t="e">
        <f>IF(B63&lt;$F$15,$F$18-E63-F63,IF(B63=$F$15,$E$17-SUM($D$28:D62),0))</f>
        <v>#N/A</v>
      </c>
      <c r="E63" s="196" t="e">
        <f>IF(B63&lt;=$F$15,(E$17*(VLOOKUP($H$2,Лист2!$A:$O,12,0)-(B63-1)*VLOOKUP($H$2,Лист2!$A:$O,13,0))),0)</f>
        <v>#N/A</v>
      </c>
      <c r="F63" s="197" t="e">
        <f>ROUND((E$17-SUM(D$29:D62))*F$9*30/365,2)</f>
        <v>#N/A</v>
      </c>
      <c r="G63" s="279" t="e">
        <f t="shared" si="1"/>
        <v>#N/A</v>
      </c>
      <c r="H63" s="279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46957</v>
      </c>
      <c r="D64" s="195" t="e">
        <f>IF(B64&lt;$F$15,$F$18-E64-F64,IF(B64=$F$15,$E$17-SUM($D$28:D63),0))</f>
        <v>#N/A</v>
      </c>
      <c r="E64" s="196" t="e">
        <f>IF(B64&lt;=$F$15,(E$17*(VLOOKUP($H$2,Лист2!$A:$O,12,0)-(B64-1)*VLOOKUP($H$2,Лист2!$A:$O,13,0))),0)</f>
        <v>#N/A</v>
      </c>
      <c r="F64" s="197" t="e">
        <f>ROUND((E$17-SUM(D$29:D63))*F$9*30/365,2)</f>
        <v>#N/A</v>
      </c>
      <c r="G64" s="279" t="e">
        <f t="shared" si="1"/>
        <v>#N/A</v>
      </c>
      <c r="H64" s="279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46988</v>
      </c>
      <c r="D65" s="195" t="e">
        <f>IF(B65&lt;$F$15,$F$18-E65-F65,IF(B65=$F$15,$E$17-SUM($D$28:D64),0))</f>
        <v>#N/A</v>
      </c>
      <c r="E65" s="196" t="e">
        <f>IF(B65&lt;=$F$15,(E$17*(VLOOKUP($H$2,Лист2!$A:$O,12,0)-(B65-1)*VLOOKUP($H$2,Лист2!$A:$O,13,0))),0)</f>
        <v>#N/A</v>
      </c>
      <c r="F65" s="197" t="e">
        <f>ROUND((E$17-SUM(D$29:D64))*F$9*30/365,2)</f>
        <v>#N/A</v>
      </c>
      <c r="G65" s="279" t="e">
        <f t="shared" si="1"/>
        <v>#N/A</v>
      </c>
      <c r="H65" s="279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47019</v>
      </c>
      <c r="D66" s="195" t="e">
        <f>IF(B66&lt;$F$15,$F$18-E66-F66,IF(B66=$F$15,$E$17-SUM($D$28:D65),0))</f>
        <v>#N/A</v>
      </c>
      <c r="E66" s="196" t="e">
        <f>IF(B66&lt;=$F$15,(E$17*(VLOOKUP($H$2,Лист2!$A:$O,12,0)-(B66-1)*VLOOKUP($H$2,Лист2!$A:$O,13,0))),0)</f>
        <v>#N/A</v>
      </c>
      <c r="F66" s="197" t="e">
        <f>ROUND((E$17-SUM(D$29:D65))*F$9*30/365,2)</f>
        <v>#N/A</v>
      </c>
      <c r="G66" s="279" t="e">
        <f t="shared" si="1"/>
        <v>#N/A</v>
      </c>
      <c r="H66" s="279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47049</v>
      </c>
      <c r="D67" s="195" t="e">
        <f>IF(B67&lt;$F$15,$F$18-E67-F67,IF(B67=$F$15,$E$17-SUM($D$28:D66),0))</f>
        <v>#N/A</v>
      </c>
      <c r="E67" s="196" t="e">
        <f>IF(B67&lt;=$F$15,(E$17*(VLOOKUP($H$2,Лист2!$A:$O,12,0)-(B67-1)*VLOOKUP($H$2,Лист2!$A:$O,13,0))),0)</f>
        <v>#N/A</v>
      </c>
      <c r="F67" s="197" t="e">
        <f>ROUND((E$17-SUM(D$29:D66))*F$9*30/365,2)</f>
        <v>#N/A</v>
      </c>
      <c r="G67" s="279" t="e">
        <f t="shared" si="1"/>
        <v>#N/A</v>
      </c>
      <c r="H67" s="279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47080</v>
      </c>
      <c r="D68" s="195" t="e">
        <f>IF(B68&lt;$F$15,$F$18-E68-F68,IF(B68=$F$15,$E$17-SUM($D$28:D67),0))</f>
        <v>#N/A</v>
      </c>
      <c r="E68" s="196" t="e">
        <f>IF(B68&lt;=$F$15,(E$17*(VLOOKUP($H$2,Лист2!$A:$O,12,0)-(B68-1)*VLOOKUP($H$2,Лист2!$A:$O,13,0))),0)</f>
        <v>#N/A</v>
      </c>
      <c r="F68" s="197" t="e">
        <f>ROUND((E$17-SUM(D$29:D67))*F$9*30/365,2)</f>
        <v>#N/A</v>
      </c>
      <c r="G68" s="279" t="e">
        <f t="shared" si="1"/>
        <v>#N/A</v>
      </c>
      <c r="H68" s="279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47110</v>
      </c>
      <c r="D69" s="195" t="e">
        <f>IF(B69&lt;$F$15,$F$18-E69-F69,IF(B69=$F$15,$E$17-SUM($D$28:D68),0))</f>
        <v>#N/A</v>
      </c>
      <c r="E69" s="196" t="e">
        <f>IF(B69&lt;=$F$15,(E$17*(VLOOKUP($H$2,Лист2!$A:$O,12,0)-(B69-1)*VLOOKUP($H$2,Лист2!$A:$O,13,0))),0)</f>
        <v>#N/A</v>
      </c>
      <c r="F69" s="197" t="e">
        <f>ROUND((E$17-SUM(D$29:D68))*F$9*30/365,2)</f>
        <v>#N/A</v>
      </c>
      <c r="G69" s="279" t="e">
        <f t="shared" si="1"/>
        <v>#N/A</v>
      </c>
      <c r="H69" s="279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47141</v>
      </c>
      <c r="D70" s="195" t="e">
        <f>IF(B70&lt;$F$15,$F$18-E70-F70,IF(B70=$F$15,$E$17-SUM($D$28:D69),0))</f>
        <v>#N/A</v>
      </c>
      <c r="E70" s="196" t="e">
        <f>IF(B70&lt;=$F$15,(E$17*(VLOOKUP($H$2,Лист2!$A:$O,12,0)-(B70-1)*VLOOKUP($H$2,Лист2!$A:$O,13,0))),0)</f>
        <v>#N/A</v>
      </c>
      <c r="F70" s="197" t="e">
        <f>ROUND((E$17-SUM(D$29:D69))*F$9*30/365,2)</f>
        <v>#N/A</v>
      </c>
      <c r="G70" s="279" t="e">
        <f t="shared" si="1"/>
        <v>#N/A</v>
      </c>
      <c r="H70" s="279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47172</v>
      </c>
      <c r="D71" s="195" t="e">
        <f>IF(B71&lt;$F$15,$F$18-E71-F71,IF(B71=$F$15,$E$17-SUM($D$28:D70),0))</f>
        <v>#N/A</v>
      </c>
      <c r="E71" s="196" t="e">
        <f>IF(B71&lt;=$F$15,(E$17*(VLOOKUP($H$2,Лист2!$A:$O,12,0)-(B71-1)*VLOOKUP($H$2,Лист2!$A:$O,13,0))),0)</f>
        <v>#N/A</v>
      </c>
      <c r="F71" s="197" t="e">
        <f>ROUND((E$17-SUM(D$29:D70))*F$9*30/365,2)</f>
        <v>#N/A</v>
      </c>
      <c r="G71" s="279" t="e">
        <f t="shared" si="1"/>
        <v>#N/A</v>
      </c>
      <c r="H71" s="279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47200</v>
      </c>
      <c r="D72" s="195" t="e">
        <f>IF(B72&lt;$F$15,$F$18-E72-F72,IF(B72=$F$15,$E$17-SUM($D$28:D71),0))</f>
        <v>#N/A</v>
      </c>
      <c r="E72" s="196" t="e">
        <f>IF(B72&lt;=$F$15,(E$17*(VLOOKUP($H$2,Лист2!$A:$O,12,0)-(B72-1)*VLOOKUP($H$2,Лист2!$A:$O,13,0))),0)</f>
        <v>#N/A</v>
      </c>
      <c r="F72" s="197" t="e">
        <f>ROUND((E$17-SUM(D$29:D71))*F$9*30/365,2)</f>
        <v>#N/A</v>
      </c>
      <c r="G72" s="279" t="e">
        <f t="shared" si="1"/>
        <v>#N/A</v>
      </c>
      <c r="H72" s="279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47231</v>
      </c>
      <c r="D73" s="195" t="e">
        <f>IF(B73&lt;$F$15,$F$18-E73-F73,IF(B73=$F$15,$E$17-SUM($D$28:D72),0))</f>
        <v>#N/A</v>
      </c>
      <c r="E73" s="196" t="e">
        <f>IF(B73&lt;=$F$15,(E$17*(VLOOKUP($H$2,Лист2!$A:$O,12,0)-(B73-1)*VLOOKUP($H$2,Лист2!$A:$O,13,0))),0)</f>
        <v>#N/A</v>
      </c>
      <c r="F73" s="197" t="e">
        <f>ROUND((E$17-SUM(D$29:D72))*F$9*30/365,2)</f>
        <v>#N/A</v>
      </c>
      <c r="G73" s="279" t="e">
        <f t="shared" si="1"/>
        <v>#N/A</v>
      </c>
      <c r="H73" s="279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47261</v>
      </c>
      <c r="D74" s="195" t="e">
        <f>IF(B74&lt;$F$15,$F$18-E74-F74,IF(B74=$F$15,$E$17-SUM($D$28:D73),0))</f>
        <v>#N/A</v>
      </c>
      <c r="E74" s="196" t="e">
        <f>IF(B74&lt;=$F$15,(E$17*(VLOOKUP($H$2,Лист2!$A:$O,12,0)-(B74-1)*VLOOKUP($H$2,Лист2!$A:$O,13,0))),0)</f>
        <v>#N/A</v>
      </c>
      <c r="F74" s="197" t="e">
        <f>ROUND((E$17-SUM(D$29:D73))*F$9*30/365,2)</f>
        <v>#N/A</v>
      </c>
      <c r="G74" s="279" t="e">
        <f t="shared" si="1"/>
        <v>#N/A</v>
      </c>
      <c r="H74" s="279"/>
      <c r="I74" s="134"/>
      <c r="J74" s="134"/>
    </row>
    <row r="75" spans="1:10" x14ac:dyDescent="0.2">
      <c r="A75" s="60"/>
      <c r="B75" s="128">
        <v>47</v>
      </c>
      <c r="C75" s="132">
        <f t="shared" ca="1" si="0"/>
        <v>47292</v>
      </c>
      <c r="D75" s="195" t="e">
        <f>IF(B75&lt;$F$15,$F$18-E75-F75,IF(B75=$F$15,$E$17-SUM($D$28:D74),0))</f>
        <v>#N/A</v>
      </c>
      <c r="E75" s="196" t="e">
        <f>IF(B75&lt;=$F$15,(E$17*(VLOOKUP($H$2,Лист2!$A:$O,12,0)-(B75-1)*VLOOKUP($H$2,Лист2!$A:$O,13,0))),0)</f>
        <v>#N/A</v>
      </c>
      <c r="F75" s="197" t="e">
        <f>ROUND((E$17-SUM(D$29:D74))*F$9*30/365,2)</f>
        <v>#N/A</v>
      </c>
      <c r="G75" s="279" t="e">
        <f t="shared" si="1"/>
        <v>#N/A</v>
      </c>
      <c r="H75" s="279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47322</v>
      </c>
      <c r="D76" s="195" t="e">
        <f>IF(B76&lt;$F$15,$F$18-E76-F76,IF(B76=$F$15,$E$17-SUM($D$28:D75),0))</f>
        <v>#N/A</v>
      </c>
      <c r="E76" s="196" t="e">
        <f>IF(B76&lt;=$F$15,(E$17*(VLOOKUP($H$2,Лист2!$A:$O,12,0)-(B76-1)*VLOOKUP($H$2,Лист2!$A:$O,13,0))),0)</f>
        <v>#N/A</v>
      </c>
      <c r="F76" s="197" t="e">
        <f>ROUND((E$17-SUM(D$29:D75))*F$9*30/365,2)</f>
        <v>#N/A</v>
      </c>
      <c r="G76" s="279" t="e">
        <f t="shared" si="1"/>
        <v>#N/A</v>
      </c>
      <c r="H76" s="279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47353</v>
      </c>
      <c r="D77" s="195" t="e">
        <f>IF(B77&lt;$F$15,$F$18-E77-F77,IF(B77=$F$15,$E$17-SUM($D$28:D76),0))</f>
        <v>#N/A</v>
      </c>
      <c r="E77" s="196" t="e">
        <f>IF(B77&lt;=$F$15,(E$17*(VLOOKUP($H$2,Лист2!$A:$O,12,0)-(B77-1)*VLOOKUP($H$2,Лист2!$A:$O,13,0))),0)</f>
        <v>#N/A</v>
      </c>
      <c r="F77" s="197" t="e">
        <f>ROUND((E$17-SUM(D$29:D76))*F$9*30/365,2)</f>
        <v>#N/A</v>
      </c>
      <c r="G77" s="279" t="e">
        <f t="shared" si="1"/>
        <v>#N/A</v>
      </c>
      <c r="H77" s="279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47384</v>
      </c>
      <c r="D78" s="195" t="e">
        <f>IF(B78&lt;$F$15,$F$18-E78-F78,IF(B78=$F$15,$E$17-SUM($D$28:D77),0))</f>
        <v>#N/A</v>
      </c>
      <c r="E78" s="196" t="e">
        <f>IF(B78&lt;=$F$15,(E$17*(VLOOKUP($H$2,Лист2!$A:$O,12,0)-(B78-1)*VLOOKUP($H$2,Лист2!$A:$O,13,0))),0)</f>
        <v>#N/A</v>
      </c>
      <c r="F78" s="197" t="e">
        <f>ROUND((E$17-SUM(D$29:D77))*F$9*30/365,2)</f>
        <v>#N/A</v>
      </c>
      <c r="G78" s="279" t="e">
        <f t="shared" si="1"/>
        <v>#N/A</v>
      </c>
      <c r="H78" s="279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47414</v>
      </c>
      <c r="D79" s="195" t="e">
        <f>IF(B79&lt;$F$15,$F$18-E79-F79,IF(B79=$F$15,$E$17-SUM($D$28:D78),0))</f>
        <v>#N/A</v>
      </c>
      <c r="E79" s="196" t="e">
        <f>IF(B79&lt;=$F$15,(E$17*(VLOOKUP($H$2,Лист2!$A:$O,12,0)-(B79-1)*VLOOKUP($H$2,Лист2!$A:$O,13,0))),0)</f>
        <v>#N/A</v>
      </c>
      <c r="F79" s="197" t="e">
        <f>ROUND((E$17-SUM(D$29:D78))*F$9*30/365,2)</f>
        <v>#N/A</v>
      </c>
      <c r="G79" s="279" t="e">
        <f t="shared" si="1"/>
        <v>#N/A</v>
      </c>
      <c r="H79" s="279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47445</v>
      </c>
      <c r="D80" s="195" t="e">
        <f>IF(B80&lt;$F$15,$F$18-E80-F80,IF(B80=$F$15,$E$17-SUM($D$28:D79),0))</f>
        <v>#N/A</v>
      </c>
      <c r="E80" s="196" t="e">
        <f>IF(B80&lt;=$F$15,(E$17*(VLOOKUP($H$2,Лист2!$A:$O,12,0)-(B80-1)*VLOOKUP($H$2,Лист2!$A:$O,13,0))),0)</f>
        <v>#N/A</v>
      </c>
      <c r="F80" s="197" t="e">
        <f>ROUND((E$17-SUM(D$29:D79))*F$9*30/365,2)</f>
        <v>#N/A</v>
      </c>
      <c r="G80" s="279" t="e">
        <f t="shared" si="1"/>
        <v>#N/A</v>
      </c>
      <c r="H80" s="279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47475</v>
      </c>
      <c r="D81" s="195" t="e">
        <f>IF(B81&lt;$F$15,$F$18-E81-F81,IF(B81=$F$15,$E$17-SUM($D$28:D80),0))</f>
        <v>#N/A</v>
      </c>
      <c r="E81" s="196" t="e">
        <f>IF(B81&lt;=$F$15,(E$17*(VLOOKUP($H$2,Лист2!$A:$O,12,0)-(B81-1)*VLOOKUP($H$2,Лист2!$A:$O,13,0))),0)</f>
        <v>#N/A</v>
      </c>
      <c r="F81" s="197" t="e">
        <f>ROUND((E$17-SUM(D$29:D80))*F$9*30/365,2)</f>
        <v>#N/A</v>
      </c>
      <c r="G81" s="279" t="e">
        <f t="shared" si="1"/>
        <v>#N/A</v>
      </c>
      <c r="H81" s="279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47506</v>
      </c>
      <c r="D82" s="195" t="e">
        <f>IF(B82&lt;$F$15,$F$18-E82-F82,IF(B82=$F$15,$E$17-SUM($D$28:D81),0))</f>
        <v>#N/A</v>
      </c>
      <c r="E82" s="196" t="e">
        <f>IF(B82&lt;=$F$15,(E$17*(VLOOKUP($H$2,Лист2!$A:$O,12,0)-(B82-1)*VLOOKUP($H$2,Лист2!$A:$O,13,0))),0)</f>
        <v>#N/A</v>
      </c>
      <c r="F82" s="197" t="e">
        <f>ROUND((E$17-SUM(D$29:D81))*F$9*30/365,2)</f>
        <v>#N/A</v>
      </c>
      <c r="G82" s="279" t="e">
        <f t="shared" si="1"/>
        <v>#N/A</v>
      </c>
      <c r="H82" s="279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47537</v>
      </c>
      <c r="D83" s="195" t="e">
        <f>IF(B83&lt;$F$15,$F$18-E83-F83,IF(B83=$F$15,$E$17-SUM($D$28:D82),0))</f>
        <v>#N/A</v>
      </c>
      <c r="E83" s="196" t="e">
        <f>IF(B83&lt;=$F$15,(E$17*(VLOOKUP($H$2,Лист2!$A:$O,12,0)-(B83-1)*VLOOKUP($H$2,Лист2!$A:$O,13,0))),0)</f>
        <v>#N/A</v>
      </c>
      <c r="F83" s="197" t="e">
        <f>ROUND((E$17-SUM(D$29:D82))*F$9*30/365,2)</f>
        <v>#N/A</v>
      </c>
      <c r="G83" s="279" t="e">
        <f t="shared" si="1"/>
        <v>#N/A</v>
      </c>
      <c r="H83" s="279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47565</v>
      </c>
      <c r="D84" s="195" t="e">
        <f>IF(B84&lt;$F$15,$F$18-E84-F84,IF(B84=$F$15,$E$17-SUM($D$28:D83),0))</f>
        <v>#N/A</v>
      </c>
      <c r="E84" s="196" t="e">
        <f>IF(B84&lt;=$F$15,(E$17*(VLOOKUP($H$2,Лист2!$A:$O,12,0)-(B84-1)*VLOOKUP($H$2,Лист2!$A:$O,13,0))),0)</f>
        <v>#N/A</v>
      </c>
      <c r="F84" s="197" t="e">
        <f>ROUND((E$17-SUM(D$29:D83))*F$9*30/365,2)</f>
        <v>#N/A</v>
      </c>
      <c r="G84" s="279" t="e">
        <f t="shared" si="1"/>
        <v>#N/A</v>
      </c>
      <c r="H84" s="279"/>
      <c r="I84" s="134"/>
      <c r="J84" s="134"/>
    </row>
    <row r="85" spans="1:10" x14ac:dyDescent="0.2">
      <c r="A85" s="60"/>
      <c r="B85" s="128">
        <v>57</v>
      </c>
      <c r="C85" s="132">
        <f t="shared" ca="1" si="0"/>
        <v>47596</v>
      </c>
      <c r="D85" s="195" t="e">
        <f>IF(B85&lt;$F$15,$F$18-E85-F85,IF(B85=$F$15,$E$17-SUM($D$28:D84),0))</f>
        <v>#N/A</v>
      </c>
      <c r="E85" s="196" t="e">
        <f>IF(B85&lt;=$F$15,(E$17*(VLOOKUP($H$2,Лист2!$A:$O,12,0)-(B85-1)*VLOOKUP($H$2,Лист2!$A:$O,13,0))),0)</f>
        <v>#N/A</v>
      </c>
      <c r="F85" s="197" t="e">
        <f>ROUND((E$17-SUM(D$29:D84))*F$9*30/365,2)</f>
        <v>#N/A</v>
      </c>
      <c r="G85" s="279" t="e">
        <f t="shared" si="1"/>
        <v>#N/A</v>
      </c>
      <c r="H85" s="279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47626</v>
      </c>
      <c r="D86" s="195" t="e">
        <f>IF(B86&lt;$F$15,$F$18-E86-F86,IF(B86=$F$15,$E$17-SUM($D$28:D85),0))</f>
        <v>#N/A</v>
      </c>
      <c r="E86" s="196" t="e">
        <f>IF(B86&lt;=$F$15,(E$17*(VLOOKUP($H$2,Лист2!$A:$O,12,0)-(B86-1)*VLOOKUP($H$2,Лист2!$A:$O,13,0))),0)</f>
        <v>#N/A</v>
      </c>
      <c r="F86" s="197" t="e">
        <f>ROUND((E$17-SUM(D$29:D85))*F$9*30/365,2)</f>
        <v>#N/A</v>
      </c>
      <c r="G86" s="279" t="e">
        <f t="shared" si="1"/>
        <v>#N/A</v>
      </c>
      <c r="H86" s="279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47657</v>
      </c>
      <c r="D87" s="195" t="e">
        <f>IF(B87&lt;$F$15,$F$18-E87-F87,IF(B87=$F$15,$E$17-SUM($D$28:D86),0))</f>
        <v>#N/A</v>
      </c>
      <c r="E87" s="196" t="e">
        <f>IF(B87&lt;=$F$15,(E$17*(VLOOKUP($H$2,Лист2!$A:$O,12,0)-(B87-1)*VLOOKUP($H$2,Лист2!$A:$O,13,0))),0)</f>
        <v>#N/A</v>
      </c>
      <c r="F87" s="197" t="e">
        <f>ROUND((E$17-SUM(D$29:D86))*F$9*30/365,2)</f>
        <v>#N/A</v>
      </c>
      <c r="G87" s="279" t="e">
        <f t="shared" si="1"/>
        <v>#N/A</v>
      </c>
      <c r="H87" s="279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47687</v>
      </c>
      <c r="D88" s="198" t="e">
        <f>IF(B88&lt;$F$15,$F$18-E88-F88,IF(B88=$F$15,$E$17-SUM($D$28:D87),0))</f>
        <v>#N/A</v>
      </c>
      <c r="E88" s="199" t="e">
        <f>IF(B88&lt;=$F$15,(E$17*(VLOOKUP($H$2,Лист2!$A:$O,12,0)-(B88-1)*VLOOKUP($H$2,Лист2!$A:$O,13,0))),0)</f>
        <v>#N/A</v>
      </c>
      <c r="F88" s="200" t="e">
        <f>ROUND((E$17-SUM(D$29:D87))*F$9*30/365,2)</f>
        <v>#N/A</v>
      </c>
      <c r="G88" s="280" t="e">
        <f t="shared" si="1"/>
        <v>#N/A</v>
      </c>
      <c r="H88" s="280"/>
      <c r="I88" s="134"/>
      <c r="J88" s="134"/>
    </row>
    <row r="89" spans="1:10" ht="16.5" thickBot="1" x14ac:dyDescent="0.25">
      <c r="A89" s="60"/>
      <c r="B89" s="241" t="s">
        <v>3</v>
      </c>
      <c r="C89" s="276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77" t="e">
        <f>SUM(G29:H88)</f>
        <v>#N/A</v>
      </c>
      <c r="H89" s="278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45" t="s">
        <v>5</v>
      </c>
      <c r="F91" s="245"/>
      <c r="G91" s="245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O14"/>
  <sheetViews>
    <sheetView zoomScale="85" zoomScaleNormal="85" workbookViewId="0">
      <selection activeCell="H35" sqref="H35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8.140625" style="141" bestFit="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8" t="s">
        <v>88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0" t="s">
        <v>90</v>
      </c>
      <c r="B4" s="220">
        <v>272727.27</v>
      </c>
      <c r="C4" s="220">
        <v>60</v>
      </c>
      <c r="D4" s="221">
        <v>0.75990000000000002</v>
      </c>
      <c r="E4" s="221">
        <f>D4-10%</f>
        <v>0.65990000000000004</v>
      </c>
      <c r="F4" s="221">
        <v>0.1</v>
      </c>
      <c r="G4" s="221">
        <v>0</v>
      </c>
      <c r="H4" s="220" t="s">
        <v>98</v>
      </c>
      <c r="I4" s="220">
        <v>300000</v>
      </c>
      <c r="J4" s="220"/>
      <c r="K4" s="220">
        <v>1</v>
      </c>
      <c r="L4" s="222">
        <v>3738.9128907694981</v>
      </c>
      <c r="M4" s="223">
        <v>0</v>
      </c>
      <c r="N4" s="224">
        <v>0</v>
      </c>
      <c r="O4" s="220">
        <v>4545.45</v>
      </c>
    </row>
    <row r="5" spans="1:15" x14ac:dyDescent="0.2">
      <c r="A5" s="220" t="s">
        <v>92</v>
      </c>
      <c r="B5" s="220">
        <v>454545.46</v>
      </c>
      <c r="C5" s="220">
        <v>36</v>
      </c>
      <c r="D5" s="221">
        <v>0.66990000000000005</v>
      </c>
      <c r="E5" s="221">
        <f>D5-10%</f>
        <v>0.56990000000000007</v>
      </c>
      <c r="F5" s="221">
        <v>0.1</v>
      </c>
      <c r="G5" s="221">
        <v>0</v>
      </c>
      <c r="H5" s="220" t="s">
        <v>99</v>
      </c>
      <c r="I5" s="220">
        <v>500000</v>
      </c>
      <c r="J5" s="220"/>
      <c r="K5" s="220">
        <v>1</v>
      </c>
      <c r="L5" s="222">
        <v>3738.9128907694981</v>
      </c>
      <c r="M5" s="223">
        <v>0</v>
      </c>
      <c r="N5" s="224">
        <v>0</v>
      </c>
      <c r="O5" s="220">
        <v>4545.45</v>
      </c>
    </row>
    <row r="6" spans="1:15" x14ac:dyDescent="0.2">
      <c r="A6" s="220" t="s">
        <v>93</v>
      </c>
      <c r="B6" s="220">
        <v>454545.46</v>
      </c>
      <c r="C6" s="220">
        <v>24</v>
      </c>
      <c r="D6" s="221">
        <v>0.62990000000000002</v>
      </c>
      <c r="E6" s="221">
        <f t="shared" ref="E6:E7" si="0">D6-10%</f>
        <v>0.52990000000000004</v>
      </c>
      <c r="F6" s="221">
        <v>0.1</v>
      </c>
      <c r="G6" s="221">
        <v>0</v>
      </c>
      <c r="H6" s="220" t="s">
        <v>99</v>
      </c>
      <c r="I6" s="220">
        <v>500000</v>
      </c>
      <c r="J6" s="220"/>
      <c r="K6" s="220">
        <v>1</v>
      </c>
      <c r="L6" s="222">
        <v>4234.5536931619117</v>
      </c>
      <c r="M6" s="223">
        <v>0</v>
      </c>
      <c r="N6" s="224">
        <v>0</v>
      </c>
      <c r="O6" s="220">
        <v>4545.45</v>
      </c>
    </row>
    <row r="7" spans="1:15" x14ac:dyDescent="0.2">
      <c r="A7" s="220" t="s">
        <v>95</v>
      </c>
      <c r="B7" s="220">
        <v>454545.46</v>
      </c>
      <c r="C7" s="220">
        <v>12</v>
      </c>
      <c r="D7" s="221">
        <v>0.55989999999999995</v>
      </c>
      <c r="E7" s="221">
        <f t="shared" si="0"/>
        <v>0.45989999999999998</v>
      </c>
      <c r="F7" s="221">
        <v>0.1</v>
      </c>
      <c r="G7" s="221">
        <v>0</v>
      </c>
      <c r="H7" s="220" t="s">
        <v>99</v>
      </c>
      <c r="I7" s="220">
        <v>500000</v>
      </c>
      <c r="J7" s="220"/>
      <c r="K7" s="220">
        <v>1</v>
      </c>
      <c r="L7" s="222">
        <v>6185.8466183236624</v>
      </c>
      <c r="M7" s="223">
        <v>0</v>
      </c>
      <c r="N7" s="224">
        <v>0</v>
      </c>
      <c r="O7" s="220">
        <v>4545.45</v>
      </c>
    </row>
    <row r="11" spans="1:15" x14ac:dyDescent="0.2">
      <c r="A11" s="220" t="s">
        <v>90</v>
      </c>
      <c r="B11" s="220">
        <v>272727.27</v>
      </c>
      <c r="C11" s="220">
        <v>60</v>
      </c>
      <c r="D11" s="221">
        <v>0.75990000000000002</v>
      </c>
      <c r="E11" s="221">
        <v>0.1</v>
      </c>
      <c r="F11" s="221">
        <v>0</v>
      </c>
      <c r="G11" s="220" t="s">
        <v>96</v>
      </c>
      <c r="H11" s="220" t="s">
        <v>98</v>
      </c>
      <c r="I11" s="220"/>
      <c r="J11" s="220">
        <v>1</v>
      </c>
      <c r="K11" s="222">
        <v>3738.9128907694981</v>
      </c>
      <c r="L11" s="223">
        <v>0</v>
      </c>
      <c r="M11" s="224">
        <v>0</v>
      </c>
      <c r="N11" s="220">
        <v>5000</v>
      </c>
    </row>
    <row r="12" spans="1:15" x14ac:dyDescent="0.2">
      <c r="A12" s="220" t="s">
        <v>92</v>
      </c>
      <c r="B12" s="220">
        <v>454545.46</v>
      </c>
      <c r="C12" s="220">
        <v>36</v>
      </c>
      <c r="D12" s="221">
        <v>0.66990000000000005</v>
      </c>
      <c r="E12" s="221">
        <v>0.1</v>
      </c>
      <c r="F12" s="221">
        <v>0</v>
      </c>
      <c r="G12" s="220" t="s">
        <v>97</v>
      </c>
      <c r="H12" s="220" t="s">
        <v>99</v>
      </c>
      <c r="I12" s="220"/>
      <c r="J12" s="220">
        <v>1</v>
      </c>
      <c r="K12" s="222">
        <v>3738.9128907694981</v>
      </c>
      <c r="L12" s="223">
        <v>0</v>
      </c>
      <c r="M12" s="224">
        <v>0</v>
      </c>
      <c r="N12" s="220">
        <v>5000</v>
      </c>
    </row>
    <row r="13" spans="1:15" x14ac:dyDescent="0.2">
      <c r="A13" s="220" t="s">
        <v>93</v>
      </c>
      <c r="B13" s="220">
        <v>454545.46</v>
      </c>
      <c r="C13" s="220">
        <v>24</v>
      </c>
      <c r="D13" s="221">
        <v>0.62990000000000002</v>
      </c>
      <c r="E13" s="221">
        <v>0.1</v>
      </c>
      <c r="F13" s="221">
        <v>0</v>
      </c>
      <c r="G13" s="220" t="s">
        <v>97</v>
      </c>
      <c r="H13" s="220" t="s">
        <v>99</v>
      </c>
      <c r="I13" s="220"/>
      <c r="J13" s="220">
        <v>1</v>
      </c>
      <c r="K13" s="222">
        <v>4234.5536931619117</v>
      </c>
      <c r="L13" s="223">
        <v>0</v>
      </c>
      <c r="M13" s="224">
        <v>0</v>
      </c>
      <c r="N13" s="220">
        <v>5000</v>
      </c>
    </row>
    <row r="14" spans="1:15" x14ac:dyDescent="0.2">
      <c r="A14" s="220" t="s">
        <v>95</v>
      </c>
      <c r="B14" s="220">
        <v>454545.46</v>
      </c>
      <c r="C14" s="220">
        <v>12</v>
      </c>
      <c r="D14" s="221">
        <v>0.55989999999999995</v>
      </c>
      <c r="E14" s="221">
        <v>0.1</v>
      </c>
      <c r="F14" s="221">
        <v>0</v>
      </c>
      <c r="G14" s="220" t="s">
        <v>97</v>
      </c>
      <c r="H14" s="220" t="s">
        <v>99</v>
      </c>
      <c r="I14" s="220"/>
      <c r="J14" s="220">
        <v>1</v>
      </c>
      <c r="K14" s="222">
        <v>6185.8466183236624</v>
      </c>
      <c r="L14" s="223">
        <v>0</v>
      </c>
      <c r="M14" s="224">
        <v>0</v>
      </c>
      <c r="N14" s="220">
        <v>5000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0" sqref="A20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01" t="s">
        <v>21</v>
      </c>
      <c r="B1" s="302"/>
      <c r="C1" s="302"/>
      <c r="D1" s="303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296" t="s">
        <v>86</v>
      </c>
      <c r="B3" s="297"/>
      <c r="C3" s="297"/>
      <c r="D3" s="298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296" t="s">
        <v>87</v>
      </c>
      <c r="B5" s="297"/>
      <c r="C5" s="297"/>
      <c r="D5" s="298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296" t="s">
        <v>71</v>
      </c>
      <c r="B7" s="297"/>
      <c r="C7" s="297"/>
      <c r="D7" s="298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296" t="s">
        <v>72</v>
      </c>
      <c r="B9" s="297"/>
      <c r="C9" s="297"/>
      <c r="D9" s="298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296" t="s">
        <v>85</v>
      </c>
      <c r="B11" s="297"/>
      <c r="C11" s="297"/>
      <c r="D11" s="298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296" t="s">
        <v>84</v>
      </c>
      <c r="B14" s="297"/>
      <c r="C14" s="297"/>
      <c r="D14" s="298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296" t="s">
        <v>78</v>
      </c>
      <c r="B16" s="297"/>
      <c r="C16" s="297"/>
      <c r="D16" s="298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296" t="s">
        <v>83</v>
      </c>
      <c r="B18" s="297"/>
      <c r="C18" s="297"/>
      <c r="D18" s="298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89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299" t="s">
        <v>7</v>
      </c>
      <c r="B22" s="300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50" t="s">
        <v>24</v>
      </c>
      <c r="B23" s="251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50" t="s">
        <v>8</v>
      </c>
      <c r="B24" s="251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50" t="s">
        <v>22</v>
      </c>
      <c r="B25" s="251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50" t="s">
        <v>23</v>
      </c>
      <c r="B26" s="251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09" t="s">
        <v>77</v>
      </c>
      <c r="B29" s="310"/>
      <c r="C29" s="310"/>
      <c r="D29" s="310"/>
      <c r="E29" s="310"/>
      <c r="F29" s="310"/>
      <c r="G29" s="219"/>
    </row>
    <row r="30" spans="1:8" ht="45.75" thickBot="1" x14ac:dyDescent="0.25">
      <c r="A30" s="305" t="s">
        <v>4</v>
      </c>
      <c r="B30" s="306"/>
      <c r="C30" s="104" t="s">
        <v>75</v>
      </c>
      <c r="D30" s="104" t="s">
        <v>73</v>
      </c>
      <c r="E30" s="104" t="s">
        <v>74</v>
      </c>
      <c r="F30" s="307" t="s">
        <v>76</v>
      </c>
      <c r="G30" s="308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04"/>
      <c r="E32" s="304"/>
      <c r="F32" s="304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23:B23"/>
    <mergeCell ref="A24:B24"/>
    <mergeCell ref="D32:F32"/>
    <mergeCell ref="A26:B26"/>
    <mergeCell ref="A30:B30"/>
    <mergeCell ref="F30:G30"/>
    <mergeCell ref="A25:B25"/>
    <mergeCell ref="A29:F29"/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"/>
  <sheetViews>
    <sheetView zoomScale="85" zoomScaleNormal="85" workbookViewId="0">
      <selection activeCell="C12" sqref="C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8.140625" style="141" bestFit="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8" t="s">
        <v>88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0" t="s">
        <v>90</v>
      </c>
      <c r="B4" s="220">
        <v>272727.27</v>
      </c>
      <c r="C4" s="220">
        <v>60</v>
      </c>
      <c r="D4" s="221">
        <v>0.75990000000000002</v>
      </c>
      <c r="E4" s="221">
        <v>0.1</v>
      </c>
      <c r="F4" s="221">
        <v>0</v>
      </c>
      <c r="G4" s="220" t="s">
        <v>98</v>
      </c>
      <c r="H4" s="220">
        <v>300000</v>
      </c>
      <c r="I4" s="220"/>
      <c r="J4" s="220">
        <v>1</v>
      </c>
      <c r="K4" s="222">
        <v>3738.9128907694981</v>
      </c>
      <c r="L4" s="223">
        <v>0</v>
      </c>
      <c r="M4" s="224">
        <v>0</v>
      </c>
      <c r="N4" s="220">
        <v>1000</v>
      </c>
    </row>
    <row r="5" spans="1:15" x14ac:dyDescent="0.2">
      <c r="A5" s="220" t="s">
        <v>91</v>
      </c>
      <c r="B5" s="220">
        <v>272727.27</v>
      </c>
      <c r="C5" s="220">
        <v>48</v>
      </c>
      <c r="D5" s="221">
        <v>0.70989999999999998</v>
      </c>
      <c r="E5" s="221">
        <v>0.1</v>
      </c>
      <c r="F5" s="221">
        <v>0</v>
      </c>
      <c r="G5" s="220" t="s">
        <v>98</v>
      </c>
      <c r="H5" s="220">
        <v>300000</v>
      </c>
      <c r="I5" s="220"/>
      <c r="J5" s="220">
        <v>1</v>
      </c>
      <c r="K5" s="222">
        <v>3738.9128907694981</v>
      </c>
      <c r="L5" s="223">
        <v>0</v>
      </c>
      <c r="M5" s="224">
        <v>0</v>
      </c>
      <c r="N5" s="220">
        <v>1000</v>
      </c>
    </row>
    <row r="6" spans="1:15" x14ac:dyDescent="0.2">
      <c r="A6" s="220" t="s">
        <v>92</v>
      </c>
      <c r="B6" s="220">
        <v>454545.46</v>
      </c>
      <c r="C6" s="220">
        <v>36</v>
      </c>
      <c r="D6" s="221">
        <v>0.66990000000000005</v>
      </c>
      <c r="E6" s="221">
        <v>0.1</v>
      </c>
      <c r="F6" s="221">
        <v>0</v>
      </c>
      <c r="G6" s="220" t="s">
        <v>99</v>
      </c>
      <c r="H6" s="220">
        <v>500000</v>
      </c>
      <c r="I6" s="220"/>
      <c r="J6" s="220">
        <v>1</v>
      </c>
      <c r="K6" s="222">
        <v>3738.9128907694981</v>
      </c>
      <c r="L6" s="223">
        <v>0</v>
      </c>
      <c r="M6" s="224">
        <v>0</v>
      </c>
      <c r="N6" s="220">
        <v>1000</v>
      </c>
    </row>
    <row r="7" spans="1:15" x14ac:dyDescent="0.2">
      <c r="A7" s="220" t="s">
        <v>93</v>
      </c>
      <c r="B7" s="220">
        <v>454545.46</v>
      </c>
      <c r="C7" s="220">
        <v>24</v>
      </c>
      <c r="D7" s="221">
        <v>0.62990000000000002</v>
      </c>
      <c r="E7" s="221">
        <v>0.1</v>
      </c>
      <c r="F7" s="221">
        <v>0</v>
      </c>
      <c r="G7" s="220" t="s">
        <v>99</v>
      </c>
      <c r="H7" s="220">
        <v>500000</v>
      </c>
      <c r="I7" s="220"/>
      <c r="J7" s="220">
        <v>1</v>
      </c>
      <c r="K7" s="222">
        <v>4234.5536931619117</v>
      </c>
      <c r="L7" s="223">
        <v>0</v>
      </c>
      <c r="M7" s="224">
        <v>0</v>
      </c>
      <c r="N7" s="220">
        <v>1000</v>
      </c>
    </row>
    <row r="8" spans="1:15" x14ac:dyDescent="0.2">
      <c r="A8" s="220" t="s">
        <v>94</v>
      </c>
      <c r="B8" s="220">
        <v>454545.46</v>
      </c>
      <c r="C8" s="220">
        <v>18</v>
      </c>
      <c r="D8" s="221">
        <v>0.58989999999999998</v>
      </c>
      <c r="E8" s="221">
        <v>0.1</v>
      </c>
      <c r="F8" s="221">
        <v>0</v>
      </c>
      <c r="G8" s="220" t="s">
        <v>99</v>
      </c>
      <c r="H8" s="220">
        <v>500000</v>
      </c>
      <c r="I8" s="220"/>
      <c r="J8" s="220">
        <v>1</v>
      </c>
      <c r="K8" s="222">
        <v>4854.7456270945513</v>
      </c>
      <c r="L8" s="223">
        <v>0</v>
      </c>
      <c r="M8" s="224">
        <v>0</v>
      </c>
      <c r="N8" s="220">
        <v>1000</v>
      </c>
    </row>
    <row r="9" spans="1:15" x14ac:dyDescent="0.2">
      <c r="A9" s="220" t="s">
        <v>95</v>
      </c>
      <c r="B9" s="220">
        <v>454545.46</v>
      </c>
      <c r="C9" s="220">
        <v>12</v>
      </c>
      <c r="D9" s="221">
        <v>0.55989999999999995</v>
      </c>
      <c r="E9" s="221">
        <v>0.1</v>
      </c>
      <c r="F9" s="221">
        <v>0</v>
      </c>
      <c r="G9" s="220" t="s">
        <v>99</v>
      </c>
      <c r="H9" s="220">
        <v>500000</v>
      </c>
      <c r="I9" s="220"/>
      <c r="J9" s="220">
        <v>1</v>
      </c>
      <c r="K9" s="222">
        <v>6185.8466183236624</v>
      </c>
      <c r="L9" s="223">
        <v>0</v>
      </c>
      <c r="M9" s="224">
        <v>0</v>
      </c>
      <c r="N9" s="220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Головна</vt:lpstr>
      <vt:lpstr>Простий</vt:lpstr>
      <vt:lpstr>BIG CASH</vt:lpstr>
      <vt:lpstr>Пенсійний</vt:lpstr>
      <vt:lpstr>Від 1 000 до 29 999</vt:lpstr>
      <vt:lpstr>Цільовий СК</vt:lpstr>
      <vt:lpstr>Цільовий СК_-10%</vt:lpstr>
      <vt:lpstr>Від 200 000 до 500 000</vt:lpstr>
      <vt:lpstr>Лист2</vt:lpstr>
      <vt:lpstr>Назви</vt:lpstr>
      <vt:lpstr>Лист3</vt:lpstr>
      <vt:lpstr>'BIG CASH'!Область_друку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Пенсійний!Область_друку</vt:lpstr>
      <vt:lpstr>Простий!Область_друку</vt:lpstr>
      <vt:lpstr>'Цільовий СК'!Область_друку</vt:lpstr>
      <vt:lpstr>'Цільовий СК_-10%'!Область_друку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2025-07-23T13:56:40Z</dcterms:modified>
</cp:coreProperties>
</file>