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Easy Cash\"/>
    </mc:Choice>
  </mc:AlternateContent>
  <xr:revisionPtr revIDLastSave="0" documentId="13_ncr:1_{BEB8388F-9CB9-4D07-92D2-DC2EC8A6B4A1}" xr6:coauthVersionLast="47" xr6:coauthVersionMax="47" xr10:uidLastSave="{00000000-0000-0000-0000-000000000000}"/>
  <workbookProtection workbookAlgorithmName="SHA-512" workbookHashValue="EXK3Eqj7jXXe63fkxfRGGgtrZiKE+RFfaTyIN2HcLW/fA2PP5SQDQ1XSpGsnC6ZATxVYSmzuCNgNdKzVmXf7KA==" workbookSaltValue="xqDQG9SIIZ44eJJnv+q2LQ==" workbookSpinCount="100000" lockStructure="1"/>
  <bookViews>
    <workbookView xWindow="-120" yWindow="-120" windowWidth="29040" windowHeight="15990" tabRatio="831" xr2:uid="{00000000-000D-0000-FFFF-FFFF00000000}"/>
  </bookViews>
  <sheets>
    <sheet name="EASY CASH" sheetId="189" r:id="rId1"/>
    <sheet name="Лист2" sheetId="165" state="hidden" r:id="rId2"/>
    <sheet name="Назви" sheetId="161" state="hidden" r:id="rId3"/>
  </sheets>
  <definedNames>
    <definedName name="_xlnm._FilterDatabase" localSheetId="0" hidden="1">'EASY CASH'!$A$31:$H$93</definedName>
    <definedName name="_xlnm.Print_Area" localSheetId="0">'EASY CASH'!$A$1:$L$96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89" l="1"/>
  <c r="C33" i="189" s="1"/>
  <c r="K15" i="189"/>
  <c r="H5" i="165"/>
  <c r="K5" i="165" s="1"/>
  <c r="G5" i="165"/>
  <c r="K14" i="189" l="1"/>
  <c r="H4" i="165"/>
  <c r="K4" i="165" s="1"/>
  <c r="G4" i="165"/>
  <c r="G31" i="189" l="1"/>
  <c r="F31" i="189"/>
  <c r="E31" i="189"/>
  <c r="D31" i="189"/>
  <c r="C31" i="189"/>
  <c r="B30" i="189"/>
  <c r="B26" i="189"/>
  <c r="E24" i="189"/>
  <c r="D24" i="189"/>
  <c r="C24" i="189"/>
  <c r="B24" i="189"/>
  <c r="E22" i="189"/>
  <c r="D22" i="189"/>
  <c r="C22" i="189"/>
  <c r="B22" i="189"/>
  <c r="E20" i="189"/>
  <c r="D20" i="189"/>
  <c r="C20" i="189"/>
  <c r="B20" i="189"/>
  <c r="F15" i="189"/>
  <c r="E15" i="189"/>
  <c r="D15" i="189"/>
  <c r="C15" i="189"/>
  <c r="B15" i="189"/>
  <c r="F13" i="189"/>
  <c r="E13" i="189"/>
  <c r="D13" i="189"/>
  <c r="C13" i="189"/>
  <c r="B13" i="189"/>
  <c r="F11" i="189"/>
  <c r="E18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34" i="189" l="1"/>
  <c r="C35" i="189" s="1"/>
  <c r="C36" i="189" s="1"/>
  <c r="E3" i="189"/>
  <c r="F3" i="189" s="1"/>
  <c r="C37" i="189" l="1"/>
  <c r="C38" i="189" s="1"/>
  <c r="C39" i="189" s="1"/>
  <c r="C40" i="189" s="1"/>
  <c r="C41" i="189" s="1"/>
  <c r="C42" i="189" s="1"/>
  <c r="C43" i="189" s="1"/>
  <c r="C44" i="189" s="1"/>
  <c r="F76" i="189"/>
  <c r="D87" i="189"/>
  <c r="D71" i="189"/>
  <c r="F79" i="189"/>
  <c r="D90" i="189"/>
  <c r="D74" i="189"/>
  <c r="F82" i="189"/>
  <c r="D92" i="189"/>
  <c r="D77" i="189"/>
  <c r="F85" i="189"/>
  <c r="F69" i="189"/>
  <c r="D88" i="189"/>
  <c r="F88" i="189"/>
  <c r="F72" i="189"/>
  <c r="D83" i="189"/>
  <c r="F91" i="189"/>
  <c r="F75" i="189"/>
  <c r="D86" i="189"/>
  <c r="D70" i="189"/>
  <c r="F78" i="189"/>
  <c r="D89" i="189"/>
  <c r="D73" i="189"/>
  <c r="F81" i="189"/>
  <c r="F92" i="189"/>
  <c r="D76" i="189"/>
  <c r="F84" i="189"/>
  <c r="D84" i="189"/>
  <c r="D79" i="189"/>
  <c r="F87" i="189"/>
  <c r="F71" i="189"/>
  <c r="D82" i="189"/>
  <c r="F90" i="189"/>
  <c r="F74" i="189"/>
  <c r="D85" i="189"/>
  <c r="D69" i="189"/>
  <c r="F77" i="189"/>
  <c r="D72" i="189"/>
  <c r="F80" i="189"/>
  <c r="D91" i="189"/>
  <c r="D75" i="189"/>
  <c r="F83" i="189"/>
  <c r="D80" i="189"/>
  <c r="D78" i="189"/>
  <c r="F86" i="189"/>
  <c r="F70" i="189"/>
  <c r="D81" i="189"/>
  <c r="F89" i="189"/>
  <c r="F73" i="189"/>
  <c r="D33" i="189"/>
  <c r="D53" i="189"/>
  <c r="D37" i="189"/>
  <c r="F57" i="189"/>
  <c r="F41" i="189"/>
  <c r="D60" i="189"/>
  <c r="D44" i="189"/>
  <c r="F64" i="189"/>
  <c r="F48" i="189"/>
  <c r="D67" i="189"/>
  <c r="D51" i="189"/>
  <c r="D35" i="189"/>
  <c r="F55" i="189"/>
  <c r="F39" i="189"/>
  <c r="D58" i="189"/>
  <c r="D42" i="189"/>
  <c r="F62" i="189"/>
  <c r="F46" i="189"/>
  <c r="D65" i="189"/>
  <c r="D49" i="189"/>
  <c r="F33" i="189"/>
  <c r="F53" i="189"/>
  <c r="F37" i="189"/>
  <c r="D56" i="189"/>
  <c r="D40" i="189"/>
  <c r="F60" i="189"/>
  <c r="F44" i="189"/>
  <c r="D63" i="189"/>
  <c r="D47" i="189"/>
  <c r="F67" i="189"/>
  <c r="F51" i="189"/>
  <c r="F35" i="189"/>
  <c r="D54" i="189"/>
  <c r="D38" i="189"/>
  <c r="F58" i="189"/>
  <c r="F42" i="189"/>
  <c r="D61" i="189"/>
  <c r="D45" i="189"/>
  <c r="F65" i="189"/>
  <c r="F49" i="189"/>
  <c r="D68" i="189"/>
  <c r="D52" i="189"/>
  <c r="D36" i="189"/>
  <c r="F56" i="189"/>
  <c r="F40" i="189"/>
  <c r="D59" i="189"/>
  <c r="D43" i="189"/>
  <c r="F63" i="189"/>
  <c r="F47" i="189"/>
  <c r="D66" i="189"/>
  <c r="D50" i="189"/>
  <c r="D34" i="189"/>
  <c r="F54" i="189"/>
  <c r="F38" i="189"/>
  <c r="D57" i="189"/>
  <c r="D41" i="189"/>
  <c r="F61" i="189"/>
  <c r="F45" i="189"/>
  <c r="D64" i="189"/>
  <c r="D48" i="189"/>
  <c r="F68" i="189"/>
  <c r="F52" i="189"/>
  <c r="F36" i="189"/>
  <c r="D55" i="189"/>
  <c r="D39" i="189"/>
  <c r="F59" i="189"/>
  <c r="F43" i="189"/>
  <c r="D62" i="189"/>
  <c r="D46" i="189"/>
  <c r="F66" i="189"/>
  <c r="F50" i="189"/>
  <c r="F34" i="189"/>
  <c r="E19" i="189"/>
  <c r="G32" i="189"/>
  <c r="C45" i="189" l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C89" i="189" s="1"/>
  <c r="C90" i="189" s="1"/>
  <c r="C91" i="189" s="1"/>
  <c r="C92" i="189" s="1"/>
  <c r="F17" i="189"/>
  <c r="E80" i="189"/>
  <c r="E33" i="189"/>
  <c r="E92" i="189"/>
  <c r="E72" i="189"/>
  <c r="E76" i="189"/>
  <c r="E66" i="189"/>
  <c r="E75" i="189"/>
  <c r="E91" i="189"/>
  <c r="E81" i="189"/>
  <c r="E74" i="189"/>
  <c r="E90" i="189"/>
  <c r="E83" i="189"/>
  <c r="E73" i="189"/>
  <c r="E89" i="189"/>
  <c r="E82" i="189"/>
  <c r="E71" i="189"/>
  <c r="E87" i="189"/>
  <c r="E77" i="189"/>
  <c r="E70" i="189"/>
  <c r="E86" i="189"/>
  <c r="E79" i="189"/>
  <c r="E69" i="189"/>
  <c r="E85" i="189"/>
  <c r="E78" i="189"/>
  <c r="E84" i="189"/>
  <c r="E88" i="189"/>
  <c r="E64" i="189"/>
  <c r="E53" i="189"/>
  <c r="E49" i="189"/>
  <c r="E58" i="189"/>
  <c r="E59" i="189"/>
  <c r="E60" i="189"/>
  <c r="E44" i="189"/>
  <c r="E51" i="189"/>
  <c r="E38" i="189"/>
  <c r="E63" i="189"/>
  <c r="E45" i="189"/>
  <c r="E48" i="189"/>
  <c r="E47" i="189"/>
  <c r="E35" i="189"/>
  <c r="E57" i="189"/>
  <c r="E52" i="189"/>
  <c r="E36" i="189"/>
  <c r="E62" i="189"/>
  <c r="F20" i="189"/>
  <c r="E40" i="189"/>
  <c r="E68" i="189"/>
  <c r="E39" i="189"/>
  <c r="E56" i="189"/>
  <c r="E67" i="189"/>
  <c r="E41" i="189"/>
  <c r="E61" i="189"/>
  <c r="E43" i="189"/>
  <c r="E37" i="189"/>
  <c r="E55" i="189"/>
  <c r="E46" i="189"/>
  <c r="E42" i="189"/>
  <c r="E50" i="189"/>
  <c r="E34" i="189"/>
  <c r="E54" i="189"/>
  <c r="E65" i="189"/>
  <c r="G33" i="189" l="1"/>
  <c r="E93" i="189"/>
  <c r="G34" i="189" l="1"/>
  <c r="G35" i="189" l="1"/>
  <c r="G36" i="189" l="1"/>
  <c r="G37" i="189"/>
  <c r="G38" i="189" l="1"/>
  <c r="G39" i="189" l="1"/>
  <c r="G40" i="189" l="1"/>
  <c r="G41" i="189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G88" i="189" l="1"/>
  <c r="G89" i="189" l="1"/>
  <c r="G90" i="189" l="1"/>
  <c r="G91" i="189" l="1"/>
  <c r="F93" i="189"/>
  <c r="G92" i="189" l="1"/>
  <c r="F26" i="189" s="1"/>
  <c r="D93" i="189"/>
  <c r="F7" i="189" s="1"/>
  <c r="G93" i="189" l="1"/>
  <c r="F22" i="189" s="1"/>
  <c r="F24" i="189" l="1"/>
  <c r="F28" i="189"/>
  <c r="H3" i="189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<sst xmlns="http://schemas.openxmlformats.org/spreadsheetml/2006/main" count="55" uniqueCount="50">
  <si>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</si>
  <si>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</si>
  <si>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</si>
  <si>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</si>
  <si>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</si>
  <si>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</si>
  <si>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</si>
  <si>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</si>
  <si>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</si>
  <si>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</si>
  <si>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</si>
  <si>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</si>
  <si>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</si>
  <si>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</si>
  <si>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</si>
  <si>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</si>
  <si>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</si>
  <si>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</si>
  <si>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</si>
  <si>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</si>
  <si>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</si>
  <si>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</si>
  <si>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</si>
  <si>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</si>
  <si>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</si>
  <si>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</si>
  <si>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</si>
  <si>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</si>
  <si>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</si>
  <si>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</si>
  <si>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</si>
  <si>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</si>
  <si>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</si>
  <si>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</si>
  <si>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</si>
  <si>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</si>
  <si>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</si>
  <si>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</si>
  <si>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</si>
  <si>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</si>
  <si>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</si>
  <si>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</si>
  <si>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</si>
  <si>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</si>
  <si>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</si>
  <si>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</si>
  <si>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Кількість днів</t>
  </si>
  <si>
    <t>Денна процентна ставка</t>
  </si>
  <si>
    <t>Easy Cash, 12 міс</t>
  </si>
  <si>
    <t>Easy Cash Позитив, 12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</si>
</sst>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173" fontId="3" fillId="3" borderId="0" xfId="47" applyNumberFormat="1" applyFont="1" applyFill="1" applyBorder="1" applyAlignment="1" applyProtection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52551</xdr:colOff>
      <xdr:row>0</xdr:row>
      <xdr:rowOff>19707</xdr:rowOff>
    </xdr:from>
    <xdr:to>
      <xdr:col>2</xdr:col>
      <xdr:colOff>906517</xdr:colOff>
      <xdr:row>3</xdr:row>
      <xdr:rowOff>78828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51" y="19707"/>
          <a:ext cx="1615966" cy="643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FF00"/>
    <pageSetUpPr fitToPage="1"/>
  </sheetPr>
  <dimension ref="A1:AC100"/>
  <sheetViews>
    <sheetView tabSelected="1" view="pageBreakPreview" zoomScale="145" zoomScaleNormal="70" zoomScaleSheetLayoutView="14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9"/>
      <c r="F1" s="99"/>
      <c r="G1" s="89"/>
      <c r="H1" s="145" t="s">
        <v>40</v>
      </c>
      <c r="I1" s="145"/>
    </row>
    <row r="2" spans="1:14" ht="12.75" customHeight="1" x14ac:dyDescent="0.2">
      <c r="A2" s="2"/>
      <c r="B2" s="50"/>
      <c r="C2" s="50"/>
      <c r="D2" s="50"/>
      <c r="E2" s="108">
        <f>VLOOKUP('EASY CASH'!H2,Лист2!A:N,14,FALSE)</f>
        <v>5000</v>
      </c>
      <c r="F2" s="100">
        <f>VLOOKUP(H$2,Лист2!$A:$G,2,0)</f>
        <v>30000</v>
      </c>
      <c r="G2" s="116">
        <f ca="1">TODAY()</f>
        <v>45883</v>
      </c>
      <c r="H2" s="146" t="s">
        <v>48</v>
      </c>
      <c r="I2" s="147"/>
      <c r="J2" s="42"/>
      <c r="M2" s="132"/>
      <c r="N2" s="132"/>
    </row>
    <row r="3" spans="1:14" ht="13.5" customHeight="1" thickBot="1" x14ac:dyDescent="0.25">
      <c r="A3" s="2"/>
      <c r="B3" s="50"/>
      <c r="C3" s="50"/>
      <c r="D3" s="50"/>
      <c r="E3" s="109">
        <f>IF(F5&lt;E2,"x",IF(F5&gt;F2,"y",F5))</f>
        <v>20000</v>
      </c>
      <c r="F3" s="148" t="str">
        <f>IF(E3="x","Збільшіть суму",IF(E3="y","Зменшіть суму",""))</f>
        <v/>
      </c>
      <c r="G3" s="57">
        <f>Назви!B33</f>
        <v>30.4</v>
      </c>
      <c r="H3" s="149" t="str">
        <f>VLOOKUP(H$2,Лист2!$A:$G,7,0)</f>
        <v>max. 30000 грн.</v>
      </c>
      <c r="I3" s="150"/>
      <c r="J3" s="42"/>
    </row>
    <row r="4" spans="1:14" ht="9" customHeight="1" thickBot="1" x14ac:dyDescent="0.25">
      <c r="A4" s="2"/>
      <c r="B4" s="2"/>
      <c r="C4" s="2"/>
      <c r="D4" s="2"/>
      <c r="E4" s="108"/>
      <c r="F4" s="148"/>
      <c r="G4" s="35"/>
      <c r="H4" s="124"/>
      <c r="I4" s="42"/>
      <c r="J4" s="42"/>
      <c r="K4" s="54"/>
    </row>
    <row r="5" spans="1:14" ht="21" customHeight="1" thickBot="1" x14ac:dyDescent="0.25">
      <c r="A5" s="1"/>
      <c r="B5" s="151" t="s">
        <v>45</v>
      </c>
      <c r="C5" s="152"/>
      <c r="D5" s="152"/>
      <c r="E5" s="153"/>
      <c r="F5" s="134">
        <v>20000</v>
      </c>
      <c r="G5" s="135" t="s">
        <v>23</v>
      </c>
      <c r="H5" s="136"/>
      <c r="I5" s="3"/>
      <c r="J5" s="43"/>
      <c r="K5" s="54"/>
    </row>
    <row r="6" spans="1:14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3.9" customHeight="1" x14ac:dyDescent="0.2">
      <c r="A7" s="1"/>
      <c r="B7" s="142" t="s">
        <v>41</v>
      </c>
      <c r="C7" s="143"/>
      <c r="D7" s="143"/>
      <c r="E7" s="144"/>
      <c r="F7" s="13">
        <f>D93</f>
        <v>19999.999999999993</v>
      </c>
      <c r="G7" s="36"/>
      <c r="H7" s="35"/>
      <c r="I7" s="2"/>
      <c r="J7" s="44"/>
      <c r="K7" s="54"/>
    </row>
    <row r="8" spans="1:14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14" x14ac:dyDescent="0.2">
      <c r="A9" s="1"/>
      <c r="B9" s="142" t="str">
        <f>Назви!A3</f>
        <v>Процентна ставка, % річних</v>
      </c>
      <c r="C9" s="143">
        <f>Назви!B3</f>
        <v>0</v>
      </c>
      <c r="D9" s="143">
        <f>Назви!C3</f>
        <v>0</v>
      </c>
      <c r="E9" s="144">
        <f>Назви!D3</f>
        <v>0</v>
      </c>
      <c r="F9" s="32">
        <f>VLOOKUP(H$2,Лист2!$A:$G,4,0)</f>
        <v>1E-4</v>
      </c>
      <c r="G9" s="154"/>
      <c r="H9" s="154"/>
      <c r="I9" s="3"/>
      <c r="J9" s="43"/>
      <c r="K9" s="54"/>
    </row>
    <row r="10" spans="1:14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14" ht="12.6" customHeight="1" x14ac:dyDescent="0.2">
      <c r="A11" s="1"/>
      <c r="B11" s="142" t="str">
        <f>Назви!A5</f>
        <v>Разовий страховий тариф, %</v>
      </c>
      <c r="C11" s="143">
        <f>Назви!B5</f>
        <v>0</v>
      </c>
      <c r="D11" s="143">
        <f>Назви!C5</f>
        <v>0</v>
      </c>
      <c r="E11" s="144">
        <f>Назви!D5</f>
        <v>0</v>
      </c>
      <c r="F11" s="32">
        <f>VLOOKUP(H$2,Лист2!$A:$G,5,0)</f>
        <v>0</v>
      </c>
      <c r="G11" s="154"/>
      <c r="H11" s="154"/>
      <c r="I11" s="3"/>
      <c r="J11" s="43"/>
      <c r="K11" s="113"/>
    </row>
    <row r="12" spans="1:14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14" x14ac:dyDescent="0.2">
      <c r="A13" s="1"/>
      <c r="B13" s="142" t="str">
        <f>Назви!A7</f>
        <v xml:space="preserve">Щомісячна плата за обслуговування кредитної заборгованості, % </v>
      </c>
      <c r="C13" s="143">
        <f>Назви!B7</f>
        <v>0</v>
      </c>
      <c r="D13" s="143">
        <f>Назви!C7</f>
        <v>0</v>
      </c>
      <c r="E13" s="144">
        <f>Назви!D7</f>
        <v>0</v>
      </c>
      <c r="F13" s="32">
        <f>VLOOKUP(H$2,Лист2!$A:$G,6,0)</f>
        <v>9.9900000000000003E-2</v>
      </c>
      <c r="G13" s="154"/>
      <c r="H13" s="154"/>
      <c r="I13" s="3"/>
      <c r="J13" s="43"/>
      <c r="K13" s="113"/>
    </row>
    <row r="14" spans="1:14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Easy Cash, 12 міс</v>
      </c>
    </row>
    <row r="15" spans="1:14" x14ac:dyDescent="0.2">
      <c r="A15" s="1"/>
      <c r="B15" s="142" t="str">
        <f>Назви!A9</f>
        <v>Термін кредитування (міс.)</v>
      </c>
      <c r="C15" s="143">
        <f>Назви!B9</f>
        <v>0</v>
      </c>
      <c r="D15" s="143">
        <f>Назви!C9</f>
        <v>0</v>
      </c>
      <c r="E15" s="144">
        <f>Назви!D9</f>
        <v>0</v>
      </c>
      <c r="F15" s="53">
        <f>VLOOKUP(H$2,Лист2!$A:$G,3,0)</f>
        <v>12</v>
      </c>
      <c r="G15" s="154"/>
      <c r="H15" s="154"/>
      <c r="I15" s="3"/>
      <c r="J15" s="43"/>
      <c r="K15" s="113" t="str">
        <f>Лист2!A5</f>
        <v>Easy Cash Позитив, 12 міс</v>
      </c>
    </row>
    <row r="16" spans="1:14" x14ac:dyDescent="0.2">
      <c r="A16" s="1"/>
      <c r="B16" s="47"/>
      <c r="C16" s="47"/>
      <c r="D16" s="47"/>
      <c r="E16" s="47"/>
      <c r="F16" s="141"/>
      <c r="G16" s="126"/>
      <c r="H16" s="126"/>
      <c r="I16" s="3"/>
      <c r="J16" s="43"/>
      <c r="K16" s="113"/>
    </row>
    <row r="17" spans="1:29" x14ac:dyDescent="0.2">
      <c r="A17" s="1"/>
      <c r="B17" s="142" t="s">
        <v>46</v>
      </c>
      <c r="C17" s="143"/>
      <c r="D17" s="143"/>
      <c r="E17" s="144"/>
      <c r="F17" s="53">
        <f ca="1">C44-G2</f>
        <v>365</v>
      </c>
      <c r="G17" s="126"/>
      <c r="H17" s="126"/>
      <c r="I17" s="3"/>
      <c r="J17" s="43"/>
      <c r="K17" s="113"/>
    </row>
    <row r="18" spans="1:29" s="12" customFormat="1" ht="7.9" customHeight="1" x14ac:dyDescent="0.2">
      <c r="A18" s="1"/>
      <c r="B18" s="10"/>
      <c r="C18" s="48"/>
      <c r="D18" s="94"/>
      <c r="E18" s="114">
        <f>F5*F11</f>
        <v>0</v>
      </c>
      <c r="F18" s="50"/>
      <c r="G18" s="96"/>
      <c r="H18" s="11"/>
      <c r="I18" s="1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11.25" customHeight="1" x14ac:dyDescent="0.2">
      <c r="A19" s="1"/>
      <c r="B19" s="10"/>
      <c r="C19" s="48"/>
      <c r="D19" s="94"/>
      <c r="E19" s="115">
        <f>E18+E3</f>
        <v>20000</v>
      </c>
      <c r="F19" s="50"/>
      <c r="G19" s="96"/>
      <c r="H19" s="11"/>
      <c r="I19" s="1"/>
      <c r="J19" s="99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5" t="str">
        <f>Назви!A12</f>
        <v>Орієнтовний платіж, грн.</v>
      </c>
      <c r="C20" s="156">
        <f>Назви!B12</f>
        <v>0</v>
      </c>
      <c r="D20" s="156">
        <f>Назви!C12</f>
        <v>0</v>
      </c>
      <c r="E20" s="157">
        <f>Назви!D12</f>
        <v>0</v>
      </c>
      <c r="F20" s="13">
        <f>PMT(F9/12,F15,-E19)+F13*E19</f>
        <v>3664.7569458236821</v>
      </c>
      <c r="G20" s="158"/>
      <c r="H20" s="159"/>
      <c r="I20" s="105"/>
      <c r="J20" s="44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5" t="str">
        <f>Назви!A14</f>
        <v>Орієнтовні загальні витрати за кредитом, грн.</v>
      </c>
      <c r="C22" s="156">
        <f>Назви!B14</f>
        <v>0</v>
      </c>
      <c r="D22" s="156">
        <f>Назви!C14</f>
        <v>0</v>
      </c>
      <c r="E22" s="157">
        <f>Назви!D14</f>
        <v>0</v>
      </c>
      <c r="F22" s="13">
        <f>G93-E3</f>
        <v>23977.083349884189</v>
      </c>
      <c r="G22" s="160"/>
      <c r="H22" s="160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45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5" t="str">
        <f>Назви!A16</f>
        <v>Орієнтовна загальна вартість кредиту, грн.</v>
      </c>
      <c r="C24" s="156">
        <f>Назви!B16</f>
        <v>0</v>
      </c>
      <c r="D24" s="156">
        <f>Назви!C16</f>
        <v>0</v>
      </c>
      <c r="E24" s="157">
        <f>Назви!D16</f>
        <v>0</v>
      </c>
      <c r="F24" s="13">
        <f>E3+F22</f>
        <v>43977.083349884189</v>
      </c>
      <c r="G24" s="154"/>
      <c r="H24" s="154"/>
      <c r="I24" s="1"/>
      <c r="J24" s="45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1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s="12" customFormat="1" x14ac:dyDescent="0.2">
      <c r="A26" s="1"/>
      <c r="B26" s="155" t="str">
        <f>Назви!A18</f>
        <v>Орієнтовна реальна річна процентна ставка, %</v>
      </c>
      <c r="C26" s="156"/>
      <c r="D26" s="156"/>
      <c r="E26" s="157"/>
      <c r="F26" s="32">
        <f ca="1">XIRR(G32:G92,C32:C92)</f>
        <v>4.2457962751388543</v>
      </c>
      <c r="G26" s="17"/>
      <c r="H26" s="18"/>
      <c r="I26" s="1"/>
      <c r="J26" s="1"/>
      <c r="K26" s="11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s="12" customFormat="1" x14ac:dyDescent="0.2">
      <c r="A27" s="1"/>
      <c r="B27" s="47"/>
      <c r="C27" s="47"/>
      <c r="D27" s="47"/>
      <c r="E27" s="47"/>
      <c r="F27" s="9"/>
      <c r="G27" s="17"/>
      <c r="H27" s="18"/>
      <c r="I27" s="1"/>
      <c r="J27" s="1"/>
      <c r="K27" s="113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s="12" customFormat="1" x14ac:dyDescent="0.2">
      <c r="A28" s="1"/>
      <c r="B28" s="155" t="s">
        <v>47</v>
      </c>
      <c r="C28" s="156"/>
      <c r="D28" s="156"/>
      <c r="E28" s="157"/>
      <c r="F28" s="32">
        <f ca="1">(F22/F5)/F17*100%</f>
        <v>3.2845319657375601E-3</v>
      </c>
      <c r="G28" s="17"/>
      <c r="H28" s="18"/>
      <c r="I28" s="1"/>
      <c r="J28" s="1"/>
      <c r="K28" s="11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s="12" customFormat="1" ht="13.5" thickBot="1" x14ac:dyDescent="0.25">
      <c r="A29" s="1"/>
      <c r="B29" s="24"/>
      <c r="C29" s="15"/>
      <c r="D29" s="103"/>
      <c r="E29" s="25"/>
      <c r="F29" s="26"/>
      <c r="G29" s="18"/>
      <c r="H29" s="17"/>
      <c r="I29" s="1"/>
      <c r="J29" s="1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ht="18.75" thickBot="1" x14ac:dyDescent="0.25">
      <c r="A30" s="1"/>
      <c r="B30" s="162" t="str">
        <f>Назви!A27</f>
        <v>Орієнтовний порядок повернення кредиту</v>
      </c>
      <c r="C30" s="163"/>
      <c r="D30" s="163"/>
      <c r="E30" s="163"/>
      <c r="F30" s="163"/>
      <c r="G30" s="163"/>
      <c r="H30" s="164"/>
      <c r="I30" s="3"/>
      <c r="K30" s="113"/>
    </row>
    <row r="31" spans="1:29" ht="31.15" customHeight="1" thickBot="1" x14ac:dyDescent="0.25">
      <c r="A31" s="1"/>
      <c r="B31" s="122" t="s">
        <v>39</v>
      </c>
      <c r="C31" s="122" t="str">
        <f>Назви!A28</f>
        <v>Місяць</v>
      </c>
      <c r="D31" s="95" t="str">
        <f>Назви!C28</f>
        <v>Погашення суми кредиту, грн.</v>
      </c>
      <c r="E31" s="95" t="str">
        <f>Назви!D28</f>
        <v>Розмір щомісячної плати за обслуговування кредитної заборгованості, грн.</v>
      </c>
      <c r="F31" s="95" t="str">
        <f>Назви!E28</f>
        <v>Проценти за користування кредитом, грн.</v>
      </c>
      <c r="G31" s="165" t="str">
        <f>Назви!F28</f>
        <v>Сума платежу за розрахунковий період, грн.</v>
      </c>
      <c r="H31" s="166"/>
      <c r="I31" s="3"/>
      <c r="K31" s="113"/>
    </row>
    <row r="32" spans="1:29" ht="12.6" hidden="1" customHeight="1" thickBot="1" x14ac:dyDescent="0.25">
      <c r="A32" s="1"/>
      <c r="B32" s="91">
        <v>0</v>
      </c>
      <c r="C32" s="123">
        <f ca="1">TODAY()</f>
        <v>45883</v>
      </c>
      <c r="D32" s="92"/>
      <c r="E32" s="93"/>
      <c r="F32" s="92"/>
      <c r="G32" s="167">
        <f>-1*E3</f>
        <v>-20000</v>
      </c>
      <c r="H32" s="168"/>
      <c r="I32" s="3"/>
      <c r="K32" s="113"/>
    </row>
    <row r="33" spans="1:11" x14ac:dyDescent="0.2">
      <c r="A33" s="1">
        <v>1</v>
      </c>
      <c r="B33" s="102">
        <v>1</v>
      </c>
      <c r="C33" s="137">
        <f ca="1">DATE(YEAR(C32),MONTH(C32)+1,DAY(C32))</f>
        <v>45914</v>
      </c>
      <c r="D33" s="129">
        <f>IFERROR(PPMT($F$9/12,B33,$F$15,-$E$3),0)</f>
        <v>1666.5902791570154</v>
      </c>
      <c r="E33" s="139">
        <f>IF(B33&lt;=$F$15,(E$19*(VLOOKUP($H$2,Лист2!$A:$N,12,0)-(B33-1)*VLOOKUP($H$2,Лист2!$A:$N,13,0))),0)</f>
        <v>1998</v>
      </c>
      <c r="F33" s="130">
        <f>IFERROR(IPMT($F$9/12,B33,$F$15,-$E$3),0)</f>
        <v>0.16666666666666669</v>
      </c>
      <c r="G33" s="161">
        <f>SUM(D33:F33)</f>
        <v>3664.7569458236817</v>
      </c>
      <c r="H33" s="161"/>
      <c r="I33" s="3"/>
      <c r="K33" s="113"/>
    </row>
    <row r="34" spans="1:11" x14ac:dyDescent="0.2">
      <c r="A34" s="1">
        <v>2</v>
      </c>
      <c r="B34" s="101">
        <v>2</v>
      </c>
      <c r="C34" s="138">
        <f t="shared" ref="C34:C92" ca="1" si="0">DATE(YEAR(C33),MONTH(C33)+1,DAY(C33))</f>
        <v>45944</v>
      </c>
      <c r="D34" s="129">
        <f t="shared" ref="D34:D92" si="1">IFERROR(PPMT($F$9/12,B34,$F$15,-$E$3),0)</f>
        <v>1666.6041674093419</v>
      </c>
      <c r="E34" s="140">
        <f>IF(B34&lt;=$F$15,(E$19*(VLOOKUP($H$2,Лист2!$A:$N,12,0)-(B34-1)*VLOOKUP($H$2,Лист2!$A:$N,13,0))),0)</f>
        <v>1998</v>
      </c>
      <c r="F34" s="130">
        <f t="shared" ref="F34:F92" si="2">IFERROR(IPMT($F$9/12,B34,$F$15,-$E$3),0)</f>
        <v>0.15277841434035822</v>
      </c>
      <c r="G34" s="161">
        <f t="shared" ref="G34:G92" si="3">SUM(D34:F34)</f>
        <v>3664.7569458236826</v>
      </c>
      <c r="H34" s="161"/>
      <c r="I34" s="3"/>
      <c r="K34" s="113"/>
    </row>
    <row r="35" spans="1:11" x14ac:dyDescent="0.2">
      <c r="A35" s="1">
        <v>3</v>
      </c>
      <c r="B35" s="101">
        <v>3</v>
      </c>
      <c r="C35" s="138">
        <f t="shared" ca="1" si="0"/>
        <v>45975</v>
      </c>
      <c r="D35" s="129">
        <f t="shared" si="1"/>
        <v>1666.6180557774035</v>
      </c>
      <c r="E35" s="140">
        <f>IF(B35&lt;=$F$15,(E$19*(VLOOKUP($H$2,Лист2!$A:$N,12,0)-(B35-1)*VLOOKUP($H$2,Лист2!$A:$N,13,0))),0)</f>
        <v>1998</v>
      </c>
      <c r="F35" s="130">
        <f t="shared" si="2"/>
        <v>0.13889004627861368</v>
      </c>
      <c r="G35" s="161">
        <f t="shared" si="3"/>
        <v>3664.7569458236817</v>
      </c>
      <c r="H35" s="161"/>
      <c r="I35" s="3"/>
      <c r="K35" s="113"/>
    </row>
    <row r="36" spans="1:11" x14ac:dyDescent="0.2">
      <c r="A36" s="1">
        <v>4</v>
      </c>
      <c r="B36" s="101">
        <v>4</v>
      </c>
      <c r="C36" s="138">
        <f t="shared" ca="1" si="0"/>
        <v>46005</v>
      </c>
      <c r="D36" s="129">
        <f t="shared" si="1"/>
        <v>1666.6319442612019</v>
      </c>
      <c r="E36" s="140">
        <f>IF(B36&lt;=$F$15,(E$19*(VLOOKUP($H$2,Лист2!$A:$N,12,0)-(B36-1)*VLOOKUP($H$2,Лист2!$A:$N,13,0))),0)</f>
        <v>1998</v>
      </c>
      <c r="F36" s="130">
        <f t="shared" si="2"/>
        <v>0.12500156248046865</v>
      </c>
      <c r="G36" s="161">
        <f t="shared" si="3"/>
        <v>3664.7569458236826</v>
      </c>
      <c r="H36" s="161"/>
      <c r="I36" s="3"/>
      <c r="K36" s="113"/>
    </row>
    <row r="37" spans="1:11" x14ac:dyDescent="0.2">
      <c r="A37" s="1">
        <v>5</v>
      </c>
      <c r="B37" s="101">
        <v>5</v>
      </c>
      <c r="C37" s="138">
        <f t="shared" ca="1" si="0"/>
        <v>46036</v>
      </c>
      <c r="D37" s="129">
        <f t="shared" si="1"/>
        <v>1666.6458328607373</v>
      </c>
      <c r="E37" s="140">
        <f>IF(B37&lt;=$F$15,(E$19*(VLOOKUP($H$2,Лист2!$A:$N,12,0)-(B37-1)*VLOOKUP($H$2,Лист2!$A:$N,13,0))),0)</f>
        <v>1998</v>
      </c>
      <c r="F37" s="130">
        <f t="shared" si="2"/>
        <v>0.11111296294495863</v>
      </c>
      <c r="G37" s="161">
        <f t="shared" si="3"/>
        <v>3664.7569458236821</v>
      </c>
      <c r="H37" s="161"/>
      <c r="I37" s="3"/>
      <c r="K37" s="113"/>
    </row>
    <row r="38" spans="1:11" x14ac:dyDescent="0.2">
      <c r="A38" s="1">
        <v>6</v>
      </c>
      <c r="B38" s="101">
        <v>6</v>
      </c>
      <c r="C38" s="138">
        <f t="shared" ca="1" si="0"/>
        <v>46067</v>
      </c>
      <c r="D38" s="129">
        <f t="shared" si="1"/>
        <v>1666.659721576011</v>
      </c>
      <c r="E38" s="140">
        <f>IF(B38&lt;=$F$15,(E$19*(VLOOKUP($H$2,Лист2!$A:$N,12,0)-(B38-1)*VLOOKUP($H$2,Лист2!$A:$N,13,0))),0)</f>
        <v>1998</v>
      </c>
      <c r="F38" s="130">
        <f t="shared" si="2"/>
        <v>9.722424767111916E-2</v>
      </c>
      <c r="G38" s="161">
        <f t="shared" si="3"/>
        <v>3664.7569458236821</v>
      </c>
      <c r="H38" s="161"/>
      <c r="I38" s="3"/>
      <c r="K38" s="113"/>
    </row>
    <row r="39" spans="1:11" x14ac:dyDescent="0.2">
      <c r="A39" s="1">
        <v>7</v>
      </c>
      <c r="B39" s="101">
        <v>7</v>
      </c>
      <c r="C39" s="138">
        <f t="shared" ca="1" si="0"/>
        <v>46095</v>
      </c>
      <c r="D39" s="129">
        <f t="shared" si="1"/>
        <v>1666.6736104070242</v>
      </c>
      <c r="E39" s="140">
        <f>IF(B39&lt;=$F$15,(E$19*(VLOOKUP($H$2,Лист2!$A:$N,12,0)-(B39-1)*VLOOKUP($H$2,Лист2!$A:$N,13,0))),0)</f>
        <v>1998</v>
      </c>
      <c r="F39" s="130">
        <f t="shared" si="2"/>
        <v>8.3335416657985731E-2</v>
      </c>
      <c r="G39" s="161">
        <f t="shared" si="3"/>
        <v>3664.7569458236821</v>
      </c>
      <c r="H39" s="161"/>
      <c r="I39" s="3"/>
      <c r="K39" s="113"/>
    </row>
    <row r="40" spans="1:11" x14ac:dyDescent="0.2">
      <c r="A40" s="1">
        <v>8</v>
      </c>
      <c r="B40" s="101">
        <v>8</v>
      </c>
      <c r="C40" s="138">
        <f t="shared" ca="1" si="0"/>
        <v>46126</v>
      </c>
      <c r="D40" s="129">
        <f t="shared" si="1"/>
        <v>1666.6874993537774</v>
      </c>
      <c r="E40" s="140">
        <f>IF(B40&lt;=$F$15,(E$19*(VLOOKUP($H$2,Лист2!$A:$N,12,0)-(B40-1)*VLOOKUP($H$2,Лист2!$A:$N,13,0))),0)</f>
        <v>1998</v>
      </c>
      <c r="F40" s="130">
        <f t="shared" si="2"/>
        <v>6.9446469904593855E-2</v>
      </c>
      <c r="G40" s="161">
        <f t="shared" si="3"/>
        <v>3664.7569458236821</v>
      </c>
      <c r="H40" s="161"/>
      <c r="I40" s="3"/>
      <c r="K40" s="113"/>
    </row>
    <row r="41" spans="1:11" x14ac:dyDescent="0.2">
      <c r="A41" s="1">
        <v>9</v>
      </c>
      <c r="B41" s="101">
        <v>9</v>
      </c>
      <c r="C41" s="138">
        <f t="shared" ca="1" si="0"/>
        <v>46156</v>
      </c>
      <c r="D41" s="129">
        <f t="shared" si="1"/>
        <v>1666.7013884162723</v>
      </c>
      <c r="E41" s="140">
        <f>IF(B41&lt;=$F$15,(E$19*(VLOOKUP($H$2,Лист2!$A:$N,12,0)-(B41-1)*VLOOKUP($H$2,Лист2!$A:$N,13,0))),0)</f>
        <v>1998</v>
      </c>
      <c r="F41" s="130">
        <f t="shared" si="2"/>
        <v>5.5557407409979047E-2</v>
      </c>
      <c r="G41" s="161">
        <f t="shared" si="3"/>
        <v>3664.7569458236826</v>
      </c>
      <c r="H41" s="161"/>
      <c r="I41" s="3"/>
      <c r="K41" s="113"/>
    </row>
    <row r="42" spans="1:11" x14ac:dyDescent="0.2">
      <c r="A42" s="1">
        <v>10</v>
      </c>
      <c r="B42" s="101">
        <v>10</v>
      </c>
      <c r="C42" s="138">
        <f t="shared" ca="1" si="0"/>
        <v>46187</v>
      </c>
      <c r="D42" s="129">
        <f t="shared" si="1"/>
        <v>1666.715277594509</v>
      </c>
      <c r="E42" s="140">
        <f>IF(B42&lt;=$F$15,(E$19*(VLOOKUP($H$2,Лист2!$A:$N,12,0)-(B42-1)*VLOOKUP($H$2,Лист2!$A:$N,13,0))),0)</f>
        <v>1998</v>
      </c>
      <c r="F42" s="130">
        <f t="shared" si="2"/>
        <v>4.1668229173176766E-2</v>
      </c>
      <c r="G42" s="161">
        <f t="shared" si="3"/>
        <v>3664.7569458236817</v>
      </c>
      <c r="H42" s="161"/>
      <c r="I42" s="3"/>
      <c r="K42" s="113"/>
    </row>
    <row r="43" spans="1:11" x14ac:dyDescent="0.2">
      <c r="A43" s="1">
        <v>22</v>
      </c>
      <c r="B43" s="101">
        <v>11</v>
      </c>
      <c r="C43" s="138">
        <f t="shared" ca="1" si="0"/>
        <v>46217</v>
      </c>
      <c r="D43" s="129">
        <f t="shared" si="1"/>
        <v>1666.7291668884889</v>
      </c>
      <c r="E43" s="140">
        <f>IF(B43&lt;=$F$15,(E$19*(VLOOKUP($H$2,Лист2!$A:$N,12,0)-(B43-1)*VLOOKUP($H$2,Лист2!$A:$N,13,0))),0)</f>
        <v>1998</v>
      </c>
      <c r="F43" s="130">
        <f t="shared" si="2"/>
        <v>2.7778935193222522E-2</v>
      </c>
      <c r="G43" s="161">
        <f t="shared" si="3"/>
        <v>3664.7569458236821</v>
      </c>
      <c r="H43" s="161"/>
      <c r="I43" s="3"/>
      <c r="K43" s="113"/>
    </row>
    <row r="44" spans="1:11" x14ac:dyDescent="0.2">
      <c r="A44" s="1">
        <v>22</v>
      </c>
      <c r="B44" s="101">
        <v>12</v>
      </c>
      <c r="C44" s="138">
        <f t="shared" ca="1" si="0"/>
        <v>46248</v>
      </c>
      <c r="D44" s="129">
        <f t="shared" si="1"/>
        <v>1666.7430562982131</v>
      </c>
      <c r="E44" s="140">
        <f>IF(B44&lt;=$F$15,(E$19*(VLOOKUP($H$2,Лист2!$A:$N,12,0)-(B44-1)*VLOOKUP($H$2,Лист2!$A:$N,13,0))),0)</f>
        <v>1998</v>
      </c>
      <c r="F44" s="130">
        <f t="shared" si="2"/>
        <v>1.3889525469151778E-2</v>
      </c>
      <c r="G44" s="161">
        <f t="shared" si="3"/>
        <v>3664.7569458236821</v>
      </c>
      <c r="H44" s="161"/>
      <c r="I44" s="3"/>
    </row>
    <row r="45" spans="1:11" x14ac:dyDescent="0.2">
      <c r="A45" s="1">
        <v>13</v>
      </c>
      <c r="B45" s="101">
        <v>13</v>
      </c>
      <c r="C45" s="138">
        <f t="shared" ca="1" si="0"/>
        <v>46279</v>
      </c>
      <c r="D45" s="129">
        <f t="shared" si="1"/>
        <v>0</v>
      </c>
      <c r="E45" s="140">
        <f>IF(B45&lt;=$F$15,(E$19*(VLOOKUP($H$2,Лист2!$A:$N,12,0)-(B45-1)*VLOOKUP($H$2,Лист2!$A:$N,13,0))),0)</f>
        <v>0</v>
      </c>
      <c r="F45" s="130">
        <f t="shared" si="2"/>
        <v>0</v>
      </c>
      <c r="G45" s="161">
        <f t="shared" si="3"/>
        <v>0</v>
      </c>
      <c r="H45" s="161"/>
      <c r="I45" s="3"/>
    </row>
    <row r="46" spans="1:11" x14ac:dyDescent="0.2">
      <c r="A46" s="1">
        <v>14</v>
      </c>
      <c r="B46" s="101">
        <v>14</v>
      </c>
      <c r="C46" s="138">
        <f t="shared" ca="1" si="0"/>
        <v>46309</v>
      </c>
      <c r="D46" s="129">
        <f t="shared" si="1"/>
        <v>0</v>
      </c>
      <c r="E46" s="140">
        <f>IF(B46&lt;=$F$15,(E$19*(VLOOKUP($H$2,Лист2!$A:$N,12,0)-(B46-1)*VLOOKUP($H$2,Лист2!$A:$N,13,0))),0)</f>
        <v>0</v>
      </c>
      <c r="F46" s="130">
        <f t="shared" si="2"/>
        <v>0</v>
      </c>
      <c r="G46" s="161">
        <f t="shared" si="3"/>
        <v>0</v>
      </c>
      <c r="H46" s="161"/>
      <c r="I46" s="3"/>
    </row>
    <row r="47" spans="1:11" x14ac:dyDescent="0.2">
      <c r="A47" s="1">
        <v>15</v>
      </c>
      <c r="B47" s="101">
        <v>15</v>
      </c>
      <c r="C47" s="138">
        <f t="shared" ca="1" si="0"/>
        <v>46340</v>
      </c>
      <c r="D47" s="129">
        <f t="shared" si="1"/>
        <v>0</v>
      </c>
      <c r="E47" s="140">
        <f>IF(B47&lt;=$F$15,(E$19*(VLOOKUP($H$2,Лист2!$A:$N,12,0)-(B47-1)*VLOOKUP($H$2,Лист2!$A:$N,13,0))),0)</f>
        <v>0</v>
      </c>
      <c r="F47" s="130">
        <f t="shared" si="2"/>
        <v>0</v>
      </c>
      <c r="G47" s="161">
        <f t="shared" si="3"/>
        <v>0</v>
      </c>
      <c r="H47" s="161"/>
      <c r="I47" s="3"/>
    </row>
    <row r="48" spans="1:11" x14ac:dyDescent="0.2">
      <c r="A48" s="1">
        <v>16</v>
      </c>
      <c r="B48" s="101">
        <v>16</v>
      </c>
      <c r="C48" s="138">
        <f t="shared" ca="1" si="0"/>
        <v>46370</v>
      </c>
      <c r="D48" s="129">
        <f t="shared" si="1"/>
        <v>0</v>
      </c>
      <c r="E48" s="140">
        <f>IF(B48&lt;=$F$15,(E$19*(VLOOKUP($H$2,Лист2!$A:$N,12,0)-(B48-1)*VLOOKUP($H$2,Лист2!$A:$N,13,0))),0)</f>
        <v>0</v>
      </c>
      <c r="F48" s="130">
        <f t="shared" si="2"/>
        <v>0</v>
      </c>
      <c r="G48" s="161">
        <f t="shared" si="3"/>
        <v>0</v>
      </c>
      <c r="H48" s="161"/>
      <c r="I48" s="3"/>
    </row>
    <row r="49" spans="1:11" x14ac:dyDescent="0.2">
      <c r="A49" s="1">
        <v>22</v>
      </c>
      <c r="B49" s="101">
        <v>17</v>
      </c>
      <c r="C49" s="138">
        <f t="shared" ca="1" si="0"/>
        <v>46401</v>
      </c>
      <c r="D49" s="129">
        <f t="shared" si="1"/>
        <v>0</v>
      </c>
      <c r="E49" s="140">
        <f>IF(B49&lt;=$F$15,(E$19*(VLOOKUP($H$2,Лист2!$A:$N,12,0)-(B49-1)*VLOOKUP($H$2,Лист2!$A:$N,13,0))),0)</f>
        <v>0</v>
      </c>
      <c r="F49" s="130">
        <f t="shared" si="2"/>
        <v>0</v>
      </c>
      <c r="G49" s="161">
        <f t="shared" si="3"/>
        <v>0</v>
      </c>
      <c r="H49" s="161"/>
      <c r="I49" s="3"/>
      <c r="K49" s="113"/>
    </row>
    <row r="50" spans="1:11" x14ac:dyDescent="0.2">
      <c r="A50" s="1">
        <v>22</v>
      </c>
      <c r="B50" s="101">
        <v>18</v>
      </c>
      <c r="C50" s="138">
        <f t="shared" ca="1" si="0"/>
        <v>46432</v>
      </c>
      <c r="D50" s="129">
        <f t="shared" si="1"/>
        <v>0</v>
      </c>
      <c r="E50" s="140">
        <f>IF(B50&lt;=$F$15,(E$19*(VLOOKUP($H$2,Лист2!$A:$N,12,0)-(B50-1)*VLOOKUP($H$2,Лист2!$A:$N,13,0))),0)</f>
        <v>0</v>
      </c>
      <c r="F50" s="130">
        <f t="shared" si="2"/>
        <v>0</v>
      </c>
      <c r="G50" s="161">
        <f t="shared" si="3"/>
        <v>0</v>
      </c>
      <c r="H50" s="161"/>
      <c r="I50" s="3"/>
      <c r="K50" s="113"/>
    </row>
    <row r="51" spans="1:11" x14ac:dyDescent="0.2">
      <c r="A51" s="1">
        <v>19</v>
      </c>
      <c r="B51" s="101">
        <v>19</v>
      </c>
      <c r="C51" s="138">
        <f t="shared" ca="1" si="0"/>
        <v>46460</v>
      </c>
      <c r="D51" s="129">
        <f t="shared" si="1"/>
        <v>0</v>
      </c>
      <c r="E51" s="140">
        <f>IF(B51&lt;=$F$15,(E$19*(VLOOKUP($H$2,Лист2!$A:$N,12,0)-(B51-1)*VLOOKUP($H$2,Лист2!$A:$N,13,0))),0)</f>
        <v>0</v>
      </c>
      <c r="F51" s="130">
        <f t="shared" si="2"/>
        <v>0</v>
      </c>
      <c r="G51" s="161">
        <f t="shared" si="3"/>
        <v>0</v>
      </c>
      <c r="H51" s="161"/>
      <c r="I51" s="3"/>
      <c r="K51" s="113"/>
    </row>
    <row r="52" spans="1:11" x14ac:dyDescent="0.2">
      <c r="A52" s="1">
        <v>20</v>
      </c>
      <c r="B52" s="101">
        <v>20</v>
      </c>
      <c r="C52" s="138">
        <f t="shared" ca="1" si="0"/>
        <v>46491</v>
      </c>
      <c r="D52" s="129">
        <f t="shared" si="1"/>
        <v>0</v>
      </c>
      <c r="E52" s="140">
        <f>IF(B52&lt;=$F$15,(E$19*(VLOOKUP($H$2,Лист2!$A:$N,12,0)-(B52-1)*VLOOKUP($H$2,Лист2!$A:$N,13,0))),0)</f>
        <v>0</v>
      </c>
      <c r="F52" s="130">
        <f t="shared" si="2"/>
        <v>0</v>
      </c>
      <c r="G52" s="161">
        <f t="shared" si="3"/>
        <v>0</v>
      </c>
      <c r="H52" s="161"/>
      <c r="I52" s="3"/>
      <c r="K52" s="113"/>
    </row>
    <row r="53" spans="1:11" x14ac:dyDescent="0.2">
      <c r="A53" s="49">
        <v>21</v>
      </c>
      <c r="B53" s="101">
        <v>21</v>
      </c>
      <c r="C53" s="138">
        <f t="shared" ca="1" si="0"/>
        <v>46521</v>
      </c>
      <c r="D53" s="129">
        <f t="shared" si="1"/>
        <v>0</v>
      </c>
      <c r="E53" s="140">
        <f>IF(B53&lt;=$F$15,(E$19*(VLOOKUP($H$2,Лист2!$A:$N,12,0)-(B53-1)*VLOOKUP($H$2,Лист2!$A:$N,13,0))),0)</f>
        <v>0</v>
      </c>
      <c r="F53" s="130">
        <f t="shared" si="2"/>
        <v>0</v>
      </c>
      <c r="G53" s="161">
        <f t="shared" si="3"/>
        <v>0</v>
      </c>
      <c r="H53" s="161"/>
      <c r="I53" s="3"/>
      <c r="K53" s="113"/>
    </row>
    <row r="54" spans="1:11" x14ac:dyDescent="0.2">
      <c r="A54" s="49">
        <v>22</v>
      </c>
      <c r="B54" s="101">
        <v>22</v>
      </c>
      <c r="C54" s="138">
        <f t="shared" ca="1" si="0"/>
        <v>46552</v>
      </c>
      <c r="D54" s="129">
        <f t="shared" si="1"/>
        <v>0</v>
      </c>
      <c r="E54" s="140">
        <f>IF(B54&lt;=$F$15,(E$19*(VLOOKUP($H$2,Лист2!$A:$N,12,0)-(B54-1)*VLOOKUP($H$2,Лист2!$A:$N,13,0))),0)</f>
        <v>0</v>
      </c>
      <c r="F54" s="130">
        <f t="shared" si="2"/>
        <v>0</v>
      </c>
      <c r="G54" s="161">
        <f t="shared" si="3"/>
        <v>0</v>
      </c>
      <c r="H54" s="161"/>
      <c r="I54" s="3"/>
    </row>
    <row r="55" spans="1:11" x14ac:dyDescent="0.2">
      <c r="A55" s="49">
        <v>25</v>
      </c>
      <c r="B55" s="101">
        <v>23</v>
      </c>
      <c r="C55" s="138">
        <f t="shared" ca="1" si="0"/>
        <v>46582</v>
      </c>
      <c r="D55" s="129">
        <f t="shared" si="1"/>
        <v>0</v>
      </c>
      <c r="E55" s="140">
        <f>IF(B55&lt;=$F$15,(E$19*(VLOOKUP($H$2,Лист2!$A:$N,12,0)-(B55-1)*VLOOKUP($H$2,Лист2!$A:$N,13,0))),0)</f>
        <v>0</v>
      </c>
      <c r="F55" s="130">
        <f t="shared" si="2"/>
        <v>0</v>
      </c>
      <c r="G55" s="161">
        <f t="shared" si="3"/>
        <v>0</v>
      </c>
      <c r="H55" s="161"/>
      <c r="I55" s="3"/>
    </row>
    <row r="56" spans="1:11" x14ac:dyDescent="0.2">
      <c r="A56" s="49"/>
      <c r="B56" s="101">
        <v>24</v>
      </c>
      <c r="C56" s="138">
        <f t="shared" ca="1" si="0"/>
        <v>46613</v>
      </c>
      <c r="D56" s="129">
        <f t="shared" si="1"/>
        <v>0</v>
      </c>
      <c r="E56" s="140">
        <f>IF(B56&lt;=$F$15,(E$19*(VLOOKUP($H$2,Лист2!$A:$N,12,0)-(B56-1)*VLOOKUP($H$2,Лист2!$A:$N,13,0))),0)</f>
        <v>0</v>
      </c>
      <c r="F56" s="130">
        <f t="shared" si="2"/>
        <v>0</v>
      </c>
      <c r="G56" s="161">
        <f t="shared" si="3"/>
        <v>0</v>
      </c>
      <c r="H56" s="161"/>
      <c r="I56" s="3"/>
    </row>
    <row r="57" spans="1:11" x14ac:dyDescent="0.2">
      <c r="A57" s="49"/>
      <c r="B57" s="101">
        <v>25</v>
      </c>
      <c r="C57" s="138">
        <f t="shared" ca="1" si="0"/>
        <v>46644</v>
      </c>
      <c r="D57" s="129">
        <f t="shared" si="1"/>
        <v>0</v>
      </c>
      <c r="E57" s="140">
        <f>IF(B57&lt;=$F$15,(E$19*(VLOOKUP($H$2,Лист2!$A:$N,12,0)-(B57-1)*VLOOKUP($H$2,Лист2!$A:$N,13,0))),0)</f>
        <v>0</v>
      </c>
      <c r="F57" s="130">
        <f t="shared" si="2"/>
        <v>0</v>
      </c>
      <c r="G57" s="161">
        <f t="shared" si="3"/>
        <v>0</v>
      </c>
      <c r="H57" s="161"/>
      <c r="I57" s="3"/>
    </row>
    <row r="58" spans="1:11" x14ac:dyDescent="0.2">
      <c r="A58" s="49"/>
      <c r="B58" s="101">
        <v>26</v>
      </c>
      <c r="C58" s="138">
        <f t="shared" ca="1" si="0"/>
        <v>46674</v>
      </c>
      <c r="D58" s="129">
        <f t="shared" si="1"/>
        <v>0</v>
      </c>
      <c r="E58" s="140">
        <f>IF(B58&lt;=$F$15,(E$19*(VLOOKUP($H$2,Лист2!$A:$N,12,0)-(B58-1)*VLOOKUP($H$2,Лист2!$A:$N,13,0))),0)</f>
        <v>0</v>
      </c>
      <c r="F58" s="130">
        <f t="shared" si="2"/>
        <v>0</v>
      </c>
      <c r="G58" s="161">
        <f t="shared" si="3"/>
        <v>0</v>
      </c>
      <c r="H58" s="161"/>
      <c r="I58" s="3"/>
    </row>
    <row r="59" spans="1:11" x14ac:dyDescent="0.2">
      <c r="A59" s="49"/>
      <c r="B59" s="101">
        <v>27</v>
      </c>
      <c r="C59" s="138">
        <f t="shared" ca="1" si="0"/>
        <v>46705</v>
      </c>
      <c r="D59" s="129">
        <f t="shared" si="1"/>
        <v>0</v>
      </c>
      <c r="E59" s="140">
        <f>IF(B59&lt;=$F$15,(E$19*(VLOOKUP($H$2,Лист2!$A:$N,12,0)-(B59-1)*VLOOKUP($H$2,Лист2!$A:$N,13,0))),0)</f>
        <v>0</v>
      </c>
      <c r="F59" s="130">
        <f t="shared" si="2"/>
        <v>0</v>
      </c>
      <c r="G59" s="161">
        <f t="shared" si="3"/>
        <v>0</v>
      </c>
      <c r="H59" s="161"/>
      <c r="I59" s="3"/>
    </row>
    <row r="60" spans="1:11" x14ac:dyDescent="0.2">
      <c r="A60" s="49"/>
      <c r="B60" s="101">
        <v>28</v>
      </c>
      <c r="C60" s="138">
        <f t="shared" ca="1" si="0"/>
        <v>46735</v>
      </c>
      <c r="D60" s="129">
        <f t="shared" si="1"/>
        <v>0</v>
      </c>
      <c r="E60" s="140">
        <f>IF(B60&lt;=$F$15,(E$19*(VLOOKUP($H$2,Лист2!$A:$N,12,0)-(B60-1)*VLOOKUP($H$2,Лист2!$A:$N,13,0))),0)</f>
        <v>0</v>
      </c>
      <c r="F60" s="130">
        <f t="shared" si="2"/>
        <v>0</v>
      </c>
      <c r="G60" s="161">
        <f t="shared" si="3"/>
        <v>0</v>
      </c>
      <c r="H60" s="161"/>
      <c r="I60" s="3"/>
    </row>
    <row r="61" spans="1:11" x14ac:dyDescent="0.2">
      <c r="A61" s="49"/>
      <c r="B61" s="101">
        <v>29</v>
      </c>
      <c r="C61" s="138">
        <f t="shared" ca="1" si="0"/>
        <v>46766</v>
      </c>
      <c r="D61" s="129">
        <f t="shared" si="1"/>
        <v>0</v>
      </c>
      <c r="E61" s="140">
        <f>IF(B61&lt;=$F$15,(E$19*(VLOOKUP($H$2,Лист2!$A:$N,12,0)-(B61-1)*VLOOKUP($H$2,Лист2!$A:$N,13,0))),0)</f>
        <v>0</v>
      </c>
      <c r="F61" s="130">
        <f t="shared" si="2"/>
        <v>0</v>
      </c>
      <c r="G61" s="161">
        <f t="shared" si="3"/>
        <v>0</v>
      </c>
      <c r="H61" s="161"/>
      <c r="I61" s="3"/>
    </row>
    <row r="62" spans="1:11" x14ac:dyDescent="0.2">
      <c r="A62" s="49">
        <v>25</v>
      </c>
      <c r="B62" s="101">
        <v>30</v>
      </c>
      <c r="C62" s="138">
        <f t="shared" ca="1" si="0"/>
        <v>46797</v>
      </c>
      <c r="D62" s="129">
        <f t="shared" si="1"/>
        <v>0</v>
      </c>
      <c r="E62" s="140">
        <f>IF(B62&lt;=$F$15,(E$19*(VLOOKUP($H$2,Лист2!$A:$N,12,0)-(B62-1)*VLOOKUP($H$2,Лист2!$A:$N,13,0))),0)</f>
        <v>0</v>
      </c>
      <c r="F62" s="130">
        <f t="shared" si="2"/>
        <v>0</v>
      </c>
      <c r="G62" s="161">
        <f t="shared" si="3"/>
        <v>0</v>
      </c>
      <c r="H62" s="161"/>
      <c r="I62" s="106"/>
      <c r="J62" s="106"/>
    </row>
    <row r="63" spans="1:11" x14ac:dyDescent="0.2">
      <c r="A63" s="49"/>
      <c r="B63" s="101">
        <v>31</v>
      </c>
      <c r="C63" s="138">
        <f t="shared" ca="1" si="0"/>
        <v>46826</v>
      </c>
      <c r="D63" s="129">
        <f t="shared" si="1"/>
        <v>0</v>
      </c>
      <c r="E63" s="140">
        <f>IF(B63&lt;=$F$15,(E$19*(VLOOKUP($H$2,Лист2!$A:$N,12,0)-(B63-1)*VLOOKUP($H$2,Лист2!$A:$N,13,0))),0)</f>
        <v>0</v>
      </c>
      <c r="F63" s="130">
        <f t="shared" si="2"/>
        <v>0</v>
      </c>
      <c r="G63" s="161">
        <f t="shared" si="3"/>
        <v>0</v>
      </c>
      <c r="H63" s="161"/>
      <c r="I63" s="106"/>
      <c r="J63" s="106"/>
    </row>
    <row r="64" spans="1:11" x14ac:dyDescent="0.2">
      <c r="A64" s="49"/>
      <c r="B64" s="101">
        <v>32</v>
      </c>
      <c r="C64" s="138">
        <f t="shared" ca="1" si="0"/>
        <v>46857</v>
      </c>
      <c r="D64" s="129">
        <f t="shared" si="1"/>
        <v>0</v>
      </c>
      <c r="E64" s="140">
        <f>IF(B64&lt;=$F$15,(E$19*(VLOOKUP($H$2,Лист2!$A:$N,12,0)-(B64-1)*VLOOKUP($H$2,Лист2!$A:$N,13,0))),0)</f>
        <v>0</v>
      </c>
      <c r="F64" s="130">
        <f t="shared" si="2"/>
        <v>0</v>
      </c>
      <c r="G64" s="161">
        <f t="shared" si="3"/>
        <v>0</v>
      </c>
      <c r="H64" s="161"/>
      <c r="I64" s="106"/>
      <c r="J64" s="106"/>
    </row>
    <row r="65" spans="1:10" x14ac:dyDescent="0.2">
      <c r="A65" s="49"/>
      <c r="B65" s="101">
        <v>33</v>
      </c>
      <c r="C65" s="138">
        <f t="shared" ca="1" si="0"/>
        <v>46887</v>
      </c>
      <c r="D65" s="129">
        <f t="shared" si="1"/>
        <v>0</v>
      </c>
      <c r="E65" s="140">
        <f>IF(B65&lt;=$F$15,(E$19*(VLOOKUP($H$2,Лист2!$A:$N,12,0)-(B65-1)*VLOOKUP($H$2,Лист2!$A:$N,13,0))),0)</f>
        <v>0</v>
      </c>
      <c r="F65" s="130">
        <f t="shared" si="2"/>
        <v>0</v>
      </c>
      <c r="G65" s="161">
        <f t="shared" si="3"/>
        <v>0</v>
      </c>
      <c r="H65" s="161"/>
      <c r="I65" s="106"/>
      <c r="J65" s="106"/>
    </row>
    <row r="66" spans="1:10" x14ac:dyDescent="0.2">
      <c r="A66" s="49"/>
      <c r="B66" s="101">
        <v>34</v>
      </c>
      <c r="C66" s="138">
        <f t="shared" ca="1" si="0"/>
        <v>46918</v>
      </c>
      <c r="D66" s="129">
        <f t="shared" si="1"/>
        <v>0</v>
      </c>
      <c r="E66" s="140">
        <f>IF(B66&lt;=$F$15,(E$19*(VLOOKUP($H$2,Лист2!$A:$N,12,0)-(B66-1)*VLOOKUP($H$2,Лист2!$A:$N,13,0))),0)</f>
        <v>0</v>
      </c>
      <c r="F66" s="130">
        <f t="shared" si="2"/>
        <v>0</v>
      </c>
      <c r="G66" s="161">
        <f t="shared" si="3"/>
        <v>0</v>
      </c>
      <c r="H66" s="161"/>
      <c r="I66" s="106"/>
      <c r="J66" s="106"/>
    </row>
    <row r="67" spans="1:10" x14ac:dyDescent="0.2">
      <c r="A67" s="49"/>
      <c r="B67" s="101">
        <v>35</v>
      </c>
      <c r="C67" s="138">
        <f t="shared" ca="1" si="0"/>
        <v>46948</v>
      </c>
      <c r="D67" s="129">
        <f t="shared" si="1"/>
        <v>0</v>
      </c>
      <c r="E67" s="140">
        <f>IF(B67&lt;=$F$15,(E$19*(VLOOKUP($H$2,Лист2!$A:$N,12,0)-(B67-1)*VLOOKUP($H$2,Лист2!$A:$N,13,0))),0)</f>
        <v>0</v>
      </c>
      <c r="F67" s="130">
        <f t="shared" si="2"/>
        <v>0</v>
      </c>
      <c r="G67" s="161">
        <f t="shared" si="3"/>
        <v>0</v>
      </c>
      <c r="H67" s="161"/>
      <c r="I67" s="106"/>
      <c r="J67" s="106"/>
    </row>
    <row r="68" spans="1:10" x14ac:dyDescent="0.2">
      <c r="A68" s="49"/>
      <c r="B68" s="101">
        <v>36</v>
      </c>
      <c r="C68" s="138">
        <f t="shared" ca="1" si="0"/>
        <v>46979</v>
      </c>
      <c r="D68" s="129">
        <f t="shared" si="1"/>
        <v>0</v>
      </c>
      <c r="E68" s="140">
        <f>IF(B68&lt;=$F$15,(E$19*(VLOOKUP($H$2,Лист2!$A:$N,12,0)-(B68-1)*VLOOKUP($H$2,Лист2!$A:$N,13,0))),0)</f>
        <v>0</v>
      </c>
      <c r="F68" s="130">
        <f t="shared" si="2"/>
        <v>0</v>
      </c>
      <c r="G68" s="161">
        <f t="shared" si="3"/>
        <v>0</v>
      </c>
      <c r="H68" s="161"/>
      <c r="I68" s="106"/>
      <c r="J68" s="106"/>
    </row>
    <row r="69" spans="1:10" x14ac:dyDescent="0.2">
      <c r="A69" s="49"/>
      <c r="B69" s="101">
        <v>37</v>
      </c>
      <c r="C69" s="104">
        <f t="shared" ca="1" si="0"/>
        <v>47010</v>
      </c>
      <c r="D69" s="129">
        <f t="shared" si="1"/>
        <v>0</v>
      </c>
      <c r="E69" s="130">
        <f>IF(B69&lt;=$F$15,(E$19*(VLOOKUP($H$2,Лист2!$A:$N,12,0)-(B69-1)*VLOOKUP($H$2,Лист2!$A:$N,13,0))),0)</f>
        <v>0</v>
      </c>
      <c r="F69" s="130">
        <f t="shared" si="2"/>
        <v>0</v>
      </c>
      <c r="G69" s="161">
        <f t="shared" si="3"/>
        <v>0</v>
      </c>
      <c r="H69" s="161"/>
      <c r="I69" s="106"/>
      <c r="J69" s="106"/>
    </row>
    <row r="70" spans="1:10" x14ac:dyDescent="0.2">
      <c r="A70" s="49"/>
      <c r="B70" s="101">
        <v>38</v>
      </c>
      <c r="C70" s="104">
        <f t="shared" ca="1" si="0"/>
        <v>47040</v>
      </c>
      <c r="D70" s="129">
        <f t="shared" si="1"/>
        <v>0</v>
      </c>
      <c r="E70" s="130">
        <f>IF(B70&lt;=$F$15,(E$19*(VLOOKUP($H$2,Лист2!$A:$N,12,0)-(B70-1)*VLOOKUP($H$2,Лист2!$A:$N,13,0))),0)</f>
        <v>0</v>
      </c>
      <c r="F70" s="130">
        <f t="shared" si="2"/>
        <v>0</v>
      </c>
      <c r="G70" s="161">
        <f t="shared" si="3"/>
        <v>0</v>
      </c>
      <c r="H70" s="161"/>
      <c r="I70" s="106"/>
      <c r="J70" s="106"/>
    </row>
    <row r="71" spans="1:10" x14ac:dyDescent="0.2">
      <c r="A71" s="49"/>
      <c r="B71" s="101">
        <v>39</v>
      </c>
      <c r="C71" s="104">
        <f t="shared" ca="1" si="0"/>
        <v>47071</v>
      </c>
      <c r="D71" s="129">
        <f t="shared" si="1"/>
        <v>0</v>
      </c>
      <c r="E71" s="130">
        <f>IF(B71&lt;=$F$15,(E$19*(VLOOKUP($H$2,Лист2!$A:$N,12,0)-(B71-1)*VLOOKUP($H$2,Лист2!$A:$N,13,0))),0)</f>
        <v>0</v>
      </c>
      <c r="F71" s="130">
        <f t="shared" si="2"/>
        <v>0</v>
      </c>
      <c r="G71" s="161">
        <f t="shared" si="3"/>
        <v>0</v>
      </c>
      <c r="H71" s="161"/>
      <c r="I71" s="106"/>
      <c r="J71" s="106"/>
    </row>
    <row r="72" spans="1:10" x14ac:dyDescent="0.2">
      <c r="A72" s="49"/>
      <c r="B72" s="101">
        <v>40</v>
      </c>
      <c r="C72" s="104">
        <f t="shared" ca="1" si="0"/>
        <v>47101</v>
      </c>
      <c r="D72" s="129">
        <f t="shared" si="1"/>
        <v>0</v>
      </c>
      <c r="E72" s="130">
        <f>IF(B72&lt;=$F$15,(E$19*(VLOOKUP($H$2,Лист2!$A:$N,12,0)-(B72-1)*VLOOKUP($H$2,Лист2!$A:$N,13,0))),0)</f>
        <v>0</v>
      </c>
      <c r="F72" s="130">
        <f t="shared" si="2"/>
        <v>0</v>
      </c>
      <c r="G72" s="161">
        <f t="shared" si="3"/>
        <v>0</v>
      </c>
      <c r="H72" s="161"/>
      <c r="I72" s="106"/>
      <c r="J72" s="106"/>
    </row>
    <row r="73" spans="1:10" x14ac:dyDescent="0.2">
      <c r="A73" s="49"/>
      <c r="B73" s="101">
        <v>41</v>
      </c>
      <c r="C73" s="104">
        <f t="shared" ca="1" si="0"/>
        <v>47132</v>
      </c>
      <c r="D73" s="129">
        <f t="shared" si="1"/>
        <v>0</v>
      </c>
      <c r="E73" s="130">
        <f>IF(B73&lt;=$F$15,(E$19*(VLOOKUP($H$2,Лист2!$A:$N,12,0)-(B73-1)*VLOOKUP($H$2,Лист2!$A:$N,13,0))),0)</f>
        <v>0</v>
      </c>
      <c r="F73" s="130">
        <f t="shared" si="2"/>
        <v>0</v>
      </c>
      <c r="G73" s="161">
        <f t="shared" si="3"/>
        <v>0</v>
      </c>
      <c r="H73" s="161"/>
      <c r="I73" s="106"/>
      <c r="J73" s="106"/>
    </row>
    <row r="74" spans="1:10" x14ac:dyDescent="0.2">
      <c r="A74" s="49"/>
      <c r="B74" s="101">
        <v>42</v>
      </c>
      <c r="C74" s="104">
        <f t="shared" ca="1" si="0"/>
        <v>47163</v>
      </c>
      <c r="D74" s="129">
        <f t="shared" si="1"/>
        <v>0</v>
      </c>
      <c r="E74" s="130">
        <f>IF(B74&lt;=$F$15,(E$19*(VLOOKUP($H$2,Лист2!$A:$N,12,0)-(B74-1)*VLOOKUP($H$2,Лист2!$A:$N,13,0))),0)</f>
        <v>0</v>
      </c>
      <c r="F74" s="130">
        <f t="shared" si="2"/>
        <v>0</v>
      </c>
      <c r="G74" s="161">
        <f t="shared" si="3"/>
        <v>0</v>
      </c>
      <c r="H74" s="161"/>
      <c r="I74" s="106"/>
      <c r="J74" s="106"/>
    </row>
    <row r="75" spans="1:10" x14ac:dyDescent="0.2">
      <c r="A75" s="49"/>
      <c r="B75" s="101">
        <v>43</v>
      </c>
      <c r="C75" s="104">
        <f t="shared" ca="1" si="0"/>
        <v>47191</v>
      </c>
      <c r="D75" s="129">
        <f t="shared" si="1"/>
        <v>0</v>
      </c>
      <c r="E75" s="130">
        <f>IF(B75&lt;=$F$15,(E$19*(VLOOKUP($H$2,Лист2!$A:$N,12,0)-(B75-1)*VLOOKUP($H$2,Лист2!$A:$N,13,0))),0)</f>
        <v>0</v>
      </c>
      <c r="F75" s="130">
        <f t="shared" si="2"/>
        <v>0</v>
      </c>
      <c r="G75" s="161">
        <f t="shared" si="3"/>
        <v>0</v>
      </c>
      <c r="H75" s="161"/>
      <c r="I75" s="106"/>
      <c r="J75" s="106"/>
    </row>
    <row r="76" spans="1:10" x14ac:dyDescent="0.2">
      <c r="A76" s="49"/>
      <c r="B76" s="101">
        <v>44</v>
      </c>
      <c r="C76" s="104">
        <f t="shared" ca="1" si="0"/>
        <v>47222</v>
      </c>
      <c r="D76" s="129">
        <f t="shared" si="1"/>
        <v>0</v>
      </c>
      <c r="E76" s="130">
        <f>IF(B76&lt;=$F$15,(E$19*(VLOOKUP($H$2,Лист2!$A:$N,12,0)-(B76-1)*VLOOKUP($H$2,Лист2!$A:$N,13,0))),0)</f>
        <v>0</v>
      </c>
      <c r="F76" s="130">
        <f t="shared" si="2"/>
        <v>0</v>
      </c>
      <c r="G76" s="161">
        <f t="shared" si="3"/>
        <v>0</v>
      </c>
      <c r="H76" s="161"/>
      <c r="I76" s="106"/>
      <c r="J76" s="106"/>
    </row>
    <row r="77" spans="1:10" x14ac:dyDescent="0.2">
      <c r="A77" s="49"/>
      <c r="B77" s="101">
        <v>45</v>
      </c>
      <c r="C77" s="104">
        <f t="shared" ca="1" si="0"/>
        <v>47252</v>
      </c>
      <c r="D77" s="129">
        <f t="shared" si="1"/>
        <v>0</v>
      </c>
      <c r="E77" s="130">
        <f>IF(B77&lt;=$F$15,(E$19*(VLOOKUP($H$2,Лист2!$A:$N,12,0)-(B77-1)*VLOOKUP($H$2,Лист2!$A:$N,13,0))),0)</f>
        <v>0</v>
      </c>
      <c r="F77" s="130">
        <f t="shared" si="2"/>
        <v>0</v>
      </c>
      <c r="G77" s="161">
        <f t="shared" si="3"/>
        <v>0</v>
      </c>
      <c r="H77" s="161"/>
      <c r="I77" s="106"/>
      <c r="J77" s="106"/>
    </row>
    <row r="78" spans="1:10" x14ac:dyDescent="0.2">
      <c r="A78" s="49"/>
      <c r="B78" s="101">
        <v>46</v>
      </c>
      <c r="C78" s="104">
        <f t="shared" ca="1" si="0"/>
        <v>47283</v>
      </c>
      <c r="D78" s="129">
        <f t="shared" si="1"/>
        <v>0</v>
      </c>
      <c r="E78" s="130">
        <f>IF(B78&lt;=$F$15,(E$19*(VLOOKUP($H$2,Лист2!$A:$N,12,0)-(B78-1)*VLOOKUP($H$2,Лист2!$A:$N,13,0))),0)</f>
        <v>0</v>
      </c>
      <c r="F78" s="130">
        <f t="shared" si="2"/>
        <v>0</v>
      </c>
      <c r="G78" s="161">
        <f t="shared" si="3"/>
        <v>0</v>
      </c>
      <c r="H78" s="161"/>
      <c r="I78" s="106"/>
      <c r="J78" s="106"/>
    </row>
    <row r="79" spans="1:10" x14ac:dyDescent="0.2">
      <c r="A79" s="49"/>
      <c r="B79" s="101">
        <v>47</v>
      </c>
      <c r="C79" s="104">
        <f t="shared" ca="1" si="0"/>
        <v>47313</v>
      </c>
      <c r="D79" s="129">
        <f t="shared" si="1"/>
        <v>0</v>
      </c>
      <c r="E79" s="130">
        <f>IF(B79&lt;=$F$15,(E$19*(VLOOKUP($H$2,Лист2!$A:$N,12,0)-(B79-1)*VLOOKUP($H$2,Лист2!$A:$N,13,0))),0)</f>
        <v>0</v>
      </c>
      <c r="F79" s="130">
        <f t="shared" si="2"/>
        <v>0</v>
      </c>
      <c r="G79" s="161">
        <f t="shared" si="3"/>
        <v>0</v>
      </c>
      <c r="H79" s="161"/>
      <c r="I79" s="106"/>
      <c r="J79" s="106"/>
    </row>
    <row r="80" spans="1:10" x14ac:dyDescent="0.2">
      <c r="A80" s="49"/>
      <c r="B80" s="101">
        <v>48</v>
      </c>
      <c r="C80" s="104">
        <f t="shared" ca="1" si="0"/>
        <v>47344</v>
      </c>
      <c r="D80" s="129">
        <f t="shared" si="1"/>
        <v>0</v>
      </c>
      <c r="E80" s="130">
        <f>IF(B80&lt;=$F$15,(E$19*(VLOOKUP($H$2,Лист2!$A:$N,12,0)-(B80-1)*VLOOKUP($H$2,Лист2!$A:$N,13,0))),0)</f>
        <v>0</v>
      </c>
      <c r="F80" s="130">
        <f t="shared" si="2"/>
        <v>0</v>
      </c>
      <c r="G80" s="161">
        <f t="shared" si="3"/>
        <v>0</v>
      </c>
      <c r="H80" s="161"/>
      <c r="I80" s="106"/>
      <c r="J80" s="106"/>
    </row>
    <row r="81" spans="1:10" x14ac:dyDescent="0.2">
      <c r="A81" s="49"/>
      <c r="B81" s="101">
        <v>49</v>
      </c>
      <c r="C81" s="104">
        <f t="shared" ca="1" si="0"/>
        <v>47375</v>
      </c>
      <c r="D81" s="129">
        <f t="shared" si="1"/>
        <v>0</v>
      </c>
      <c r="E81" s="130">
        <f>IF(B81&lt;=$F$15,(E$19*(VLOOKUP($H$2,Лист2!$A:$N,12,0)-(B81-1)*VLOOKUP($H$2,Лист2!$A:$N,13,0))),0)</f>
        <v>0</v>
      </c>
      <c r="F81" s="130">
        <f t="shared" si="2"/>
        <v>0</v>
      </c>
      <c r="G81" s="161">
        <f t="shared" si="3"/>
        <v>0</v>
      </c>
      <c r="H81" s="161"/>
      <c r="I81" s="106"/>
      <c r="J81" s="106"/>
    </row>
    <row r="82" spans="1:10" x14ac:dyDescent="0.2">
      <c r="A82" s="49"/>
      <c r="B82" s="101">
        <v>50</v>
      </c>
      <c r="C82" s="104">
        <f t="shared" ca="1" si="0"/>
        <v>47405</v>
      </c>
      <c r="D82" s="129">
        <f t="shared" si="1"/>
        <v>0</v>
      </c>
      <c r="E82" s="130">
        <f>IF(B82&lt;=$F$15,(E$19*(VLOOKUP($H$2,Лист2!$A:$N,12,0)-(B82-1)*VLOOKUP($H$2,Лист2!$A:$N,13,0))),0)</f>
        <v>0</v>
      </c>
      <c r="F82" s="130">
        <f t="shared" si="2"/>
        <v>0</v>
      </c>
      <c r="G82" s="161">
        <f t="shared" si="3"/>
        <v>0</v>
      </c>
      <c r="H82" s="161"/>
      <c r="I82" s="106"/>
      <c r="J82" s="106"/>
    </row>
    <row r="83" spans="1:10" x14ac:dyDescent="0.2">
      <c r="A83" s="49"/>
      <c r="B83" s="101">
        <v>51</v>
      </c>
      <c r="C83" s="104">
        <f t="shared" ca="1" si="0"/>
        <v>47436</v>
      </c>
      <c r="D83" s="129">
        <f t="shared" si="1"/>
        <v>0</v>
      </c>
      <c r="E83" s="130">
        <f>IF(B83&lt;=$F$15,(E$19*(VLOOKUP($H$2,Лист2!$A:$N,12,0)-(B83-1)*VLOOKUP($H$2,Лист2!$A:$N,13,0))),0)</f>
        <v>0</v>
      </c>
      <c r="F83" s="130">
        <f t="shared" si="2"/>
        <v>0</v>
      </c>
      <c r="G83" s="161">
        <f t="shared" si="3"/>
        <v>0</v>
      </c>
      <c r="H83" s="161"/>
      <c r="I83" s="106"/>
      <c r="J83" s="106"/>
    </row>
    <row r="84" spans="1:10" x14ac:dyDescent="0.2">
      <c r="A84" s="49"/>
      <c r="B84" s="101">
        <v>52</v>
      </c>
      <c r="C84" s="104">
        <f t="shared" ca="1" si="0"/>
        <v>47466</v>
      </c>
      <c r="D84" s="129">
        <f t="shared" si="1"/>
        <v>0</v>
      </c>
      <c r="E84" s="130">
        <f>IF(B84&lt;=$F$15,(E$19*(VLOOKUP($H$2,Лист2!$A:$N,12,0)-(B84-1)*VLOOKUP($H$2,Лист2!$A:$N,13,0))),0)</f>
        <v>0</v>
      </c>
      <c r="F84" s="130">
        <f t="shared" si="2"/>
        <v>0</v>
      </c>
      <c r="G84" s="161">
        <f t="shared" si="3"/>
        <v>0</v>
      </c>
      <c r="H84" s="161"/>
      <c r="I84" s="106"/>
      <c r="J84" s="106"/>
    </row>
    <row r="85" spans="1:10" x14ac:dyDescent="0.2">
      <c r="A85" s="49"/>
      <c r="B85" s="101">
        <v>53</v>
      </c>
      <c r="C85" s="104">
        <f t="shared" ca="1" si="0"/>
        <v>47497</v>
      </c>
      <c r="D85" s="129">
        <f t="shared" si="1"/>
        <v>0</v>
      </c>
      <c r="E85" s="130">
        <f>IF(B85&lt;=$F$15,(E$19*(VLOOKUP($H$2,Лист2!$A:$N,12,0)-(B85-1)*VLOOKUP($H$2,Лист2!$A:$N,13,0))),0)</f>
        <v>0</v>
      </c>
      <c r="F85" s="130">
        <f t="shared" si="2"/>
        <v>0</v>
      </c>
      <c r="G85" s="161">
        <f t="shared" si="3"/>
        <v>0</v>
      </c>
      <c r="H85" s="161"/>
      <c r="I85" s="106"/>
      <c r="J85" s="106"/>
    </row>
    <row r="86" spans="1:10" x14ac:dyDescent="0.2">
      <c r="A86" s="49"/>
      <c r="B86" s="101">
        <v>54</v>
      </c>
      <c r="C86" s="104">
        <f t="shared" ca="1" si="0"/>
        <v>47528</v>
      </c>
      <c r="D86" s="129">
        <f t="shared" si="1"/>
        <v>0</v>
      </c>
      <c r="E86" s="130">
        <f>IF(B86&lt;=$F$15,(E$19*(VLOOKUP($H$2,Лист2!$A:$N,12,0)-(B86-1)*VLOOKUP($H$2,Лист2!$A:$N,13,0))),0)</f>
        <v>0</v>
      </c>
      <c r="F86" s="130">
        <f t="shared" si="2"/>
        <v>0</v>
      </c>
      <c r="G86" s="161">
        <f t="shared" si="3"/>
        <v>0</v>
      </c>
      <c r="H86" s="161"/>
      <c r="I86" s="106"/>
      <c r="J86" s="106"/>
    </row>
    <row r="87" spans="1:10" x14ac:dyDescent="0.2">
      <c r="A87" s="49"/>
      <c r="B87" s="101">
        <v>55</v>
      </c>
      <c r="C87" s="104">
        <f t="shared" ca="1" si="0"/>
        <v>47556</v>
      </c>
      <c r="D87" s="129">
        <f t="shared" si="1"/>
        <v>0</v>
      </c>
      <c r="E87" s="130">
        <f>IF(B87&lt;=$F$15,(E$19*(VLOOKUP($H$2,Лист2!$A:$N,12,0)-(B87-1)*VLOOKUP($H$2,Лист2!$A:$N,13,0))),0)</f>
        <v>0</v>
      </c>
      <c r="F87" s="130">
        <f t="shared" si="2"/>
        <v>0</v>
      </c>
      <c r="G87" s="161">
        <f t="shared" si="3"/>
        <v>0</v>
      </c>
      <c r="H87" s="161"/>
      <c r="I87" s="106"/>
      <c r="J87" s="106"/>
    </row>
    <row r="88" spans="1:10" x14ac:dyDescent="0.2">
      <c r="A88" s="49"/>
      <c r="B88" s="101">
        <v>56</v>
      </c>
      <c r="C88" s="104">
        <f t="shared" ca="1" si="0"/>
        <v>47587</v>
      </c>
      <c r="D88" s="129">
        <f t="shared" si="1"/>
        <v>0</v>
      </c>
      <c r="E88" s="130">
        <f>IF(B88&lt;=$F$15,(E$19*(VLOOKUP($H$2,Лист2!$A:$N,12,0)-(B88-1)*VLOOKUP($H$2,Лист2!$A:$N,13,0))),0)</f>
        <v>0</v>
      </c>
      <c r="F88" s="130">
        <f t="shared" si="2"/>
        <v>0</v>
      </c>
      <c r="G88" s="161">
        <f t="shared" si="3"/>
        <v>0</v>
      </c>
      <c r="H88" s="161"/>
      <c r="I88" s="106"/>
      <c r="J88" s="106"/>
    </row>
    <row r="89" spans="1:10" x14ac:dyDescent="0.2">
      <c r="A89" s="49"/>
      <c r="B89" s="101">
        <v>57</v>
      </c>
      <c r="C89" s="104">
        <f t="shared" ca="1" si="0"/>
        <v>47617</v>
      </c>
      <c r="D89" s="129">
        <f t="shared" si="1"/>
        <v>0</v>
      </c>
      <c r="E89" s="130">
        <f>IF(B89&lt;=$F$15,(E$19*(VLOOKUP($H$2,Лист2!$A:$N,12,0)-(B89-1)*VLOOKUP($H$2,Лист2!$A:$N,13,0))),0)</f>
        <v>0</v>
      </c>
      <c r="F89" s="130">
        <f t="shared" si="2"/>
        <v>0</v>
      </c>
      <c r="G89" s="161">
        <f t="shared" si="3"/>
        <v>0</v>
      </c>
      <c r="H89" s="161"/>
      <c r="I89" s="106"/>
      <c r="J89" s="106"/>
    </row>
    <row r="90" spans="1:10" x14ac:dyDescent="0.2">
      <c r="A90" s="49"/>
      <c r="B90" s="101">
        <v>58</v>
      </c>
      <c r="C90" s="104">
        <f t="shared" ca="1" si="0"/>
        <v>47648</v>
      </c>
      <c r="D90" s="129">
        <f t="shared" si="1"/>
        <v>0</v>
      </c>
      <c r="E90" s="130">
        <f>IF(B90&lt;=$F$15,(E$19*(VLOOKUP($H$2,Лист2!$A:$N,12,0)-(B90-1)*VLOOKUP($H$2,Лист2!$A:$N,13,0))),0)</f>
        <v>0</v>
      </c>
      <c r="F90" s="130">
        <f t="shared" si="2"/>
        <v>0</v>
      </c>
      <c r="G90" s="161">
        <f t="shared" si="3"/>
        <v>0</v>
      </c>
      <c r="H90" s="161"/>
      <c r="I90" s="106"/>
      <c r="J90" s="106"/>
    </row>
    <row r="91" spans="1:10" x14ac:dyDescent="0.2">
      <c r="A91" s="49"/>
      <c r="B91" s="101">
        <v>59</v>
      </c>
      <c r="C91" s="104">
        <f t="shared" ca="1" si="0"/>
        <v>47678</v>
      </c>
      <c r="D91" s="129">
        <f t="shared" si="1"/>
        <v>0</v>
      </c>
      <c r="E91" s="130">
        <f>IF(B91&lt;=$F$15,(E$19*(VLOOKUP($H$2,Лист2!$A:$N,12,0)-(B91-1)*VLOOKUP($H$2,Лист2!$A:$N,13,0))),0)</f>
        <v>0</v>
      </c>
      <c r="F91" s="130">
        <f t="shared" si="2"/>
        <v>0</v>
      </c>
      <c r="G91" s="161">
        <f t="shared" si="3"/>
        <v>0</v>
      </c>
      <c r="H91" s="161"/>
      <c r="I91" s="106"/>
      <c r="J91" s="106"/>
    </row>
    <row r="92" spans="1:10" ht="13.5" thickBot="1" x14ac:dyDescent="0.25">
      <c r="A92" s="49"/>
      <c r="B92" s="127">
        <v>60</v>
      </c>
      <c r="C92" s="128">
        <f t="shared" ca="1" si="0"/>
        <v>47709</v>
      </c>
      <c r="D92" s="129">
        <f t="shared" si="1"/>
        <v>0</v>
      </c>
      <c r="E92" s="131">
        <f>IF(B92&lt;=$F$15,(E$19*(VLOOKUP($H$2,Лист2!$A:$N,12,0)-(B92-1)*VLOOKUP($H$2,Лист2!$A:$N,13,0))),0)</f>
        <v>0</v>
      </c>
      <c r="F92" s="130">
        <f t="shared" si="2"/>
        <v>0</v>
      </c>
      <c r="G92" s="174">
        <f t="shared" si="3"/>
        <v>0</v>
      </c>
      <c r="H92" s="174"/>
      <c r="I92" s="106"/>
      <c r="J92" s="106"/>
    </row>
    <row r="93" spans="1:10" ht="16.5" thickBot="1" x14ac:dyDescent="0.25">
      <c r="A93" s="49"/>
      <c r="B93" s="169" t="s">
        <v>1</v>
      </c>
      <c r="C93" s="170"/>
      <c r="D93" s="133">
        <f>SUM(D33:D92)</f>
        <v>19999.999999999993</v>
      </c>
      <c r="E93" s="133">
        <f>SUM(E33:E92)</f>
        <v>23976</v>
      </c>
      <c r="F93" s="133">
        <f>SUM(F33:F92)</f>
        <v>1.0833498841902944</v>
      </c>
      <c r="G93" s="171">
        <f>SUM(G33:H92)</f>
        <v>43977.083349884189</v>
      </c>
      <c r="H93" s="172"/>
      <c r="I93" s="106"/>
      <c r="J93" s="106"/>
    </row>
    <row r="94" spans="1:10" x14ac:dyDescent="0.2">
      <c r="A94" s="49"/>
      <c r="B94" s="2"/>
      <c r="C94" s="2"/>
      <c r="D94" s="2"/>
      <c r="E94" s="2"/>
      <c r="F94" s="2"/>
      <c r="G94" s="35"/>
      <c r="I94" s="106"/>
      <c r="J94" s="106"/>
    </row>
    <row r="95" spans="1:10" x14ac:dyDescent="0.2">
      <c r="A95" s="49"/>
      <c r="B95" s="2"/>
      <c r="C95" s="27"/>
      <c r="D95" s="28"/>
      <c r="E95" s="173" t="s">
        <v>3</v>
      </c>
      <c r="F95" s="173"/>
      <c r="G95" s="173"/>
      <c r="I95" s="106"/>
      <c r="J95" s="106"/>
    </row>
    <row r="96" spans="1:10" x14ac:dyDescent="0.2">
      <c r="A96" s="49"/>
      <c r="B96" s="2"/>
      <c r="C96" s="29"/>
      <c r="D96" s="2"/>
      <c r="E96" s="30" t="s">
        <v>4</v>
      </c>
      <c r="F96" s="31"/>
      <c r="G96" s="40"/>
      <c r="I96" s="106"/>
      <c r="J96" s="106"/>
    </row>
    <row r="97" spans="1:10" x14ac:dyDescent="0.2">
      <c r="A97" s="49"/>
      <c r="B97" s="50"/>
      <c r="C97" s="50"/>
      <c r="D97" s="50"/>
      <c r="E97" s="50"/>
      <c r="F97" s="50"/>
      <c r="G97" s="107"/>
      <c r="H97" s="51"/>
      <c r="I97" s="106"/>
      <c r="J97" s="106"/>
    </row>
    <row r="98" spans="1:10" x14ac:dyDescent="0.2">
      <c r="A98" s="49"/>
      <c r="B98" s="50"/>
      <c r="C98" s="50"/>
      <c r="D98" s="50"/>
      <c r="E98" s="50"/>
      <c r="F98" s="50"/>
      <c r="G98" s="107"/>
      <c r="H98" s="51"/>
      <c r="I98" s="52"/>
    </row>
    <row r="99" spans="1:10" x14ac:dyDescent="0.2">
      <c r="A99" s="49"/>
      <c r="B99" s="50"/>
      <c r="C99" s="50"/>
      <c r="D99" s="50"/>
      <c r="E99" s="50"/>
      <c r="F99" s="50"/>
      <c r="G99" s="107"/>
      <c r="H99" s="51"/>
      <c r="I99" s="52"/>
    </row>
    <row r="100" spans="1:10" x14ac:dyDescent="0.2">
      <c r="A100" s="49"/>
      <c r="B100" s="50"/>
      <c r="C100" s="50"/>
      <c r="D100" s="50"/>
      <c r="E100" s="50"/>
      <c r="F100" s="50"/>
      <c r="G100" s="107"/>
      <c r="H100" s="51"/>
      <c r="I100" s="52"/>
    </row>
  </sheetData>
  <sheetProtection algorithmName="SHA-512" hashValue="0wZNm7PuWsq+Qkk6A29tBG/36fTsumiPjztzKnsqobstYb7NFLLBiNmynKHu0FsfH7Lc3fqdKYWoxOkeG3Vrdg==" saltValue="fi0fs2cTuFeoE3AkmMlxvA==" spinCount="100000" sheet="1" selectLockedCells="1"/>
  <dataConsolidate/>
  <mergeCells count="89">
    <mergeCell ref="B93:C93"/>
    <mergeCell ref="G93:H93"/>
    <mergeCell ref="E95:G95"/>
    <mergeCell ref="G87:H87"/>
    <mergeCell ref="G88:H88"/>
    <mergeCell ref="G89:H89"/>
    <mergeCell ref="G90:H90"/>
    <mergeCell ref="G91:H91"/>
    <mergeCell ref="G92:H92"/>
    <mergeCell ref="G86:H86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74:H74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62:H62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50:H50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8:H38"/>
    <mergeCell ref="B24:E24"/>
    <mergeCell ref="G24:H24"/>
    <mergeCell ref="B26:E26"/>
    <mergeCell ref="B30:H30"/>
    <mergeCell ref="G31:H31"/>
    <mergeCell ref="G32:H32"/>
    <mergeCell ref="G33:H33"/>
    <mergeCell ref="G34:H34"/>
    <mergeCell ref="G35:H35"/>
    <mergeCell ref="G36:H36"/>
    <mergeCell ref="G37:H37"/>
    <mergeCell ref="B28:E28"/>
    <mergeCell ref="B15:E15"/>
    <mergeCell ref="G15:H15"/>
    <mergeCell ref="B20:E20"/>
    <mergeCell ref="G20:H20"/>
    <mergeCell ref="B22:E22"/>
    <mergeCell ref="G22:H22"/>
    <mergeCell ref="B17:E17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$K$14:$K$15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9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:N5"/>
  <sheetViews>
    <sheetView zoomScale="85" zoomScaleNormal="85" workbookViewId="0">
      <selection activeCell="E15" sqref="E15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48</v>
      </c>
      <c r="B4" s="117">
        <v>30000</v>
      </c>
      <c r="C4" s="117">
        <v>12</v>
      </c>
      <c r="D4" s="118">
        <v>1E-4</v>
      </c>
      <c r="E4" s="118">
        <v>0</v>
      </c>
      <c r="F4" s="118">
        <v>9.9900000000000003E-2</v>
      </c>
      <c r="G4" s="117" t="str">
        <f t="shared" ref="G4" si="0">I$2&amp;" "&amp;B4&amp;" "&amp;H$2</f>
        <v>max. 30000 грн.</v>
      </c>
      <c r="H4" s="117">
        <f t="shared" ref="H4" si="1">B4+B4*E4</f>
        <v>30000</v>
      </c>
      <c r="I4" s="117"/>
      <c r="J4" s="117">
        <v>6</v>
      </c>
      <c r="K4" s="119">
        <f t="shared" ref="K4" si="2">D4/12/(1-1/POWER(1+D4/12,C4))*H4+H4*F4</f>
        <v>5497.1354187228289</v>
      </c>
      <c r="L4" s="120">
        <v>9.9900000000000003E-2</v>
      </c>
      <c r="M4" s="121">
        <v>0</v>
      </c>
      <c r="N4" s="117">
        <v>5000</v>
      </c>
    </row>
    <row r="5" spans="1:14" x14ac:dyDescent="0.2">
      <c r="A5" s="117" t="s">
        <v>49</v>
      </c>
      <c r="B5" s="117">
        <v>30000</v>
      </c>
      <c r="C5" s="117">
        <v>12</v>
      </c>
      <c r="D5" s="118">
        <v>1E-4</v>
      </c>
      <c r="E5" s="118">
        <v>0</v>
      </c>
      <c r="F5" s="118">
        <v>9.9900000000000003E-2</v>
      </c>
      <c r="G5" s="117" t="str">
        <f t="shared" ref="G5" si="3">I$2&amp;" "&amp;B5&amp;" "&amp;H$2</f>
        <v>max. 30000 грн.</v>
      </c>
      <c r="H5" s="117">
        <f t="shared" ref="H5" si="4">B5+B5*E5</f>
        <v>30000</v>
      </c>
      <c r="I5" s="117"/>
      <c r="J5" s="117">
        <v>6</v>
      </c>
      <c r="K5" s="119">
        <f t="shared" ref="K5" si="5">D5/12/(1-1/POWER(1+D5/12,C5))*H5+H5*F5</f>
        <v>5497.1354187228289</v>
      </c>
      <c r="L5" s="120">
        <v>9.9900000000000003E-2</v>
      </c>
      <c r="M5" s="121">
        <v>0</v>
      </c>
      <c r="N5" s="117">
        <v>10000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0" t="s">
        <v>13</v>
      </c>
      <c r="B1" s="191"/>
      <c r="C1" s="191"/>
      <c r="D1" s="192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5" t="s">
        <v>30</v>
      </c>
      <c r="B3" s="186"/>
      <c r="C3" s="186"/>
      <c r="D3" s="187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5" t="s">
        <v>29</v>
      </c>
      <c r="B5" s="186"/>
      <c r="C5" s="186"/>
      <c r="D5" s="187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5" t="s">
        <v>31</v>
      </c>
      <c r="B7" s="186"/>
      <c r="C7" s="186"/>
      <c r="D7" s="187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5" t="s">
        <v>44</v>
      </c>
      <c r="B9" s="186"/>
      <c r="C9" s="186"/>
      <c r="D9" s="187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5" t="s">
        <v>43</v>
      </c>
      <c r="B12" s="186"/>
      <c r="C12" s="186"/>
      <c r="D12" s="187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5" t="s">
        <v>38</v>
      </c>
      <c r="B14" s="186"/>
      <c r="C14" s="186"/>
      <c r="D14" s="187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5" t="s">
        <v>42</v>
      </c>
      <c r="B16" s="186"/>
      <c r="C16" s="186"/>
      <c r="D16" s="187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8" t="s">
        <v>5</v>
      </c>
      <c r="B20" s="189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5" t="s">
        <v>16</v>
      </c>
      <c r="B21" s="176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5" t="s">
        <v>6</v>
      </c>
      <c r="B22" s="176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5" t="s">
        <v>14</v>
      </c>
      <c r="B23" s="176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5" t="s">
        <v>15</v>
      </c>
      <c r="B24" s="176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8" t="s">
        <v>36</v>
      </c>
      <c r="B27" s="179"/>
      <c r="C27" s="179"/>
      <c r="D27" s="179"/>
      <c r="E27" s="179"/>
      <c r="F27" s="179"/>
      <c r="G27" s="180"/>
    </row>
    <row r="28" spans="1:8" ht="45.75" thickBot="1" x14ac:dyDescent="0.25">
      <c r="A28" s="181" t="s">
        <v>2</v>
      </c>
      <c r="B28" s="182"/>
      <c r="C28" s="84" t="s">
        <v>34</v>
      </c>
      <c r="D28" s="84" t="s">
        <v>32</v>
      </c>
      <c r="E28" s="84" t="s">
        <v>33</v>
      </c>
      <c r="F28" s="183" t="s">
        <v>35</v>
      </c>
      <c r="G28" s="184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7"/>
      <c r="E30" s="177"/>
      <c r="F30" s="177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EASY CASH</vt:lpstr>
      <vt:lpstr>Лист2</vt:lpstr>
      <vt:lpstr>Назви</vt:lpstr>
      <vt:lpstr>'EASY CASH'!Область_друку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2025-08-14T12:18:24Z</dcterms:modified>
</cp:coreProperties>
</file>