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Бест лід\"/>
    </mc:Choice>
  </mc:AlternateContent>
  <xr:revisionPtr revIDLastSave="0" documentId="13_ncr:1_{99673D72-A768-41E7-8DDF-D5EA80F3A1B8}" xr6:coauthVersionLast="47" xr6:coauthVersionMax="47" xr10:uidLastSave="{00000000-0000-0000-0000-000000000000}"/>
  <bookViews>
    <workbookView xWindow="-120" yWindow="-120" windowWidth="29040" windowHeight="15990" tabRatio="831" xr2:uid="{00000000-000D-0000-FFFF-FFFF00000000}"/>
  </bookViews>
  <sheets>
    <sheet name="Бест лід" sheetId="189" r:id="rId1"/>
    <sheet name="Лист2" sheetId="165" state="hidden" r:id="rId2"/>
    <sheet name="Назви" sheetId="161" state="hidden" r:id="rId3"/>
  </sheets>
  <definedNames>
    <definedName name="_xlnm._FilterDatabase" localSheetId="0" hidden="1">'Бест лід'!$A$27:$H$89</definedName>
    <definedName name="_xlnm.Print_Area" localSheetId="0">'Бест лід'!$A$1:$J$92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5" i="189"/>
  <c r="H4" i="165"/>
  <c r="K4" i="165" s="1"/>
  <c r="G4" i="165"/>
  <c r="F11" i="189"/>
  <c r="F7" i="189" s="1"/>
  <c r="H6" i="165"/>
  <c r="H7" i="165"/>
  <c r="H5" i="165"/>
  <c r="E16" i="189" l="1"/>
  <c r="K18" i="189" l="1"/>
  <c r="K7" i="165"/>
  <c r="G7" i="165"/>
  <c r="K16" i="189" l="1"/>
  <c r="K17" i="189"/>
  <c r="G5" i="165"/>
  <c r="K5" i="165"/>
  <c r="G6" i="165"/>
  <c r="K6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l="1"/>
  <c r="E17" i="189" s="1"/>
  <c r="F88" i="189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 l="1"/>
  <c r="E76" i="189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<sst xmlns="http://schemas.openxmlformats.org/spreadsheetml/2006/main" count="55" uniqueCount="50">
  <si>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</si>
  <si>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</si>
  <si>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</si>
  <si>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</si>
  <si>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</si>
  <si>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</si>
  <si>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</si>
  <si>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</si>
  <si>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</si>
  <si>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</si>
  <si>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</si>
  <si>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</si>
  <si>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</si>
  <si>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</si>
  <si>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</si>
  <si>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</si>
  <si>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</si>
  <si>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</si>
  <si>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</si>
  <si>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</si>
  <si>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</si>
  <si>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</si>
  <si>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</si>
  <si>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</si>
  <si>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</si>
  <si>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</si>
  <si>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</si>
  <si>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</si>
  <si>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</si>
  <si>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</si>
  <si>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</si>
  <si>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</si>
  <si>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</si>
  <si>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</si>
  <si>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</si>
  <si>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</si>
  <si>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</si>
  <si>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</si>
  <si>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</si>
  <si>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</si>
  <si>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</si>
  <si>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</si>
  <si>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</si>
  <si>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</si>
  <si>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</si>
  <si>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</si>
  <si>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Бест лід,  60 міс.</t>
  </si>
  <si>
    <t>Бест лід,  36 міс.</t>
  </si>
  <si>
    <t>Бест лід,  24 міс.</t>
  </si>
  <si>
    <t>Бест лід, 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</si>
</sst>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3</xdr:col>
      <xdr:colOff>1285875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6" y="0"/>
          <a:ext cx="286702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1" sqref="H21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7" t="s">
        <v>39</v>
      </c>
      <c r="I1" s="147"/>
    </row>
    <row r="2" spans="1:29" ht="12.75" customHeight="1" x14ac:dyDescent="0.2">
      <c r="A2" s="2"/>
      <c r="B2" s="50"/>
      <c r="C2" s="50"/>
      <c r="D2" s="50"/>
      <c r="E2" s="108">
        <f>VLOOKUP('Бест лід'!H2,Лист2!A:N,14,FALSE)</f>
        <v>50000</v>
      </c>
      <c r="F2" s="100">
        <f>VLOOKUP(H$2,Лист2!$A:$G,2,0)</f>
        <v>500000</v>
      </c>
      <c r="G2" s="116">
        <f ca="1">TODAY()</f>
        <v>45915</v>
      </c>
      <c r="H2" s="148" t="s">
        <v>48</v>
      </c>
      <c r="I2" s="149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250000</v>
      </c>
      <c r="F3" s="150" t="str">
        <f>IF(E3="x","Збільшіть суму",IF(E3="y","Зменшіть суму",""))</f>
        <v/>
      </c>
      <c r="G3" s="57">
        <f>Назви!B33</f>
        <v>30.4</v>
      </c>
      <c r="H3" s="151" t="str">
        <f>VLOOKUP(H$2,Лист2!$A:$G,7,0)</f>
        <v>max. 500000 грн.</v>
      </c>
      <c r="I3" s="152"/>
      <c r="J3" s="42"/>
    </row>
    <row r="4" spans="1:29" ht="9" customHeight="1" thickBot="1" x14ac:dyDescent="0.25">
      <c r="A4" s="2"/>
      <c r="B4" s="2"/>
      <c r="C4" s="2"/>
      <c r="D4" s="2"/>
      <c r="E4" s="108"/>
      <c r="F4" s="150"/>
      <c r="G4" s="35"/>
      <c r="H4" s="124"/>
      <c r="I4" s="42"/>
      <c r="J4" s="42"/>
      <c r="K4" s="54"/>
    </row>
    <row r="5" spans="1:29" ht="21" customHeight="1" thickBot="1" x14ac:dyDescent="0.25">
      <c r="A5" s="1"/>
      <c r="B5" s="153" t="s">
        <v>44</v>
      </c>
      <c r="C5" s="154"/>
      <c r="D5" s="154"/>
      <c r="E5" s="155"/>
      <c r="F5" s="134">
        <v>250000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4" t="s">
        <v>40</v>
      </c>
      <c r="C7" s="145"/>
      <c r="D7" s="145"/>
      <c r="E7" s="146"/>
      <c r="F7" s="13">
        <f>F5+F11</f>
        <v>250000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4" t="str">
        <f>Назви!A3</f>
        <v>Процентна ставка, % річних</v>
      </c>
      <c r="C9" s="145">
        <f>Назви!B3</f>
        <v>0</v>
      </c>
      <c r="D9" s="145">
        <f>Назви!C3</f>
        <v>0</v>
      </c>
      <c r="E9" s="146">
        <f>Назви!D3</f>
        <v>0</v>
      </c>
      <c r="F9" s="32">
        <f>VLOOKUP(H$2,Лист2!$A:$G,4,0)</f>
        <v>0.499</v>
      </c>
      <c r="G9" s="156"/>
      <c r="H9" s="156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4" t="str">
        <f>Назви!A5</f>
        <v>Разовий комісія, грн.</v>
      </c>
      <c r="C11" s="145">
        <f>Назви!B5</f>
        <v>0</v>
      </c>
      <c r="D11" s="145">
        <f>Назви!C5</f>
        <v>0</v>
      </c>
      <c r="E11" s="146">
        <f>Назви!D5</f>
        <v>0</v>
      </c>
      <c r="F11" s="143">
        <f>VLOOKUP(H$2,Лист2!$A:$G,5,0)</f>
        <v>0</v>
      </c>
      <c r="G11" s="156"/>
      <c r="H11" s="156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4" t="str">
        <f>Назви!A7</f>
        <v xml:space="preserve">Щомісячна плата за обслуговування кредитної заборгованості, % </v>
      </c>
      <c r="C13" s="145">
        <f>Назви!B7</f>
        <v>0</v>
      </c>
      <c r="D13" s="145">
        <f>Назви!C7</f>
        <v>0</v>
      </c>
      <c r="E13" s="146">
        <f>Назви!D7</f>
        <v>0</v>
      </c>
      <c r="F13" s="32">
        <f>VLOOKUP(H$2,Лист2!$A:$G,6,0)</f>
        <v>0</v>
      </c>
      <c r="G13" s="156"/>
      <c r="H13" s="156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44" t="str">
        <f>Назви!A9</f>
        <v>Термін кредитування (міс.)</v>
      </c>
      <c r="C15" s="145">
        <f>Назви!B9</f>
        <v>0</v>
      </c>
      <c r="D15" s="145">
        <f>Назви!C9</f>
        <v>0</v>
      </c>
      <c r="E15" s="146">
        <f>Назви!D9</f>
        <v>0</v>
      </c>
      <c r="F15" s="53">
        <f>VLOOKUP(H$2,Лист2!$A:$G,3,0)</f>
        <v>24</v>
      </c>
      <c r="G15" s="156"/>
      <c r="H15" s="156"/>
      <c r="I15" s="3"/>
      <c r="J15" s="43"/>
      <c r="K15" s="113" t="str">
        <f>Лист2!A4</f>
        <v>Бест лід,  60 міс.</v>
      </c>
    </row>
    <row r="16" spans="1:29" s="12" customFormat="1" ht="7.9" customHeight="1" x14ac:dyDescent="0.2">
      <c r="A16" s="1"/>
      <c r="B16" s="10"/>
      <c r="C16" s="48"/>
      <c r="D16" s="94"/>
      <c r="E16" s="114">
        <f>F11</f>
        <v>0</v>
      </c>
      <c r="F16" s="50"/>
      <c r="G16" s="96"/>
      <c r="H16" s="11"/>
      <c r="I16" s="1"/>
      <c r="J16" s="44"/>
      <c r="K16" s="113" t="str">
        <f>Лист2!A5</f>
        <v>Бест лід, 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250000</v>
      </c>
      <c r="F17" s="50"/>
      <c r="G17" s="96"/>
      <c r="H17" s="11"/>
      <c r="I17" s="1"/>
      <c r="J17" s="99"/>
      <c r="K17" s="113" t="str">
        <f>Лист2!A6</f>
        <v>Бест лід, 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7" t="str">
        <f>Назви!A12</f>
        <v>Орієнтовний платіж, грн.</v>
      </c>
      <c r="C18" s="158">
        <f>Назви!B12</f>
        <v>0</v>
      </c>
      <c r="D18" s="158">
        <f>Назви!C12</f>
        <v>0</v>
      </c>
      <c r="E18" s="159">
        <f>Назви!D12</f>
        <v>0</v>
      </c>
      <c r="F18" s="13">
        <f>PMT(F9/12,F15,-F7)</f>
        <v>16663.588049186277</v>
      </c>
      <c r="G18" s="160"/>
      <c r="H18" s="161"/>
      <c r="I18" s="105"/>
      <c r="J18" s="44"/>
      <c r="K18" s="113" t="str">
        <f>Лист2!A7</f>
        <v>Бест лід,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7" t="str">
        <f>Назви!A14</f>
        <v>Орієнтовні загальні витрати за кредитом, грн.</v>
      </c>
      <c r="C20" s="158">
        <f>Назви!B14</f>
        <v>0</v>
      </c>
      <c r="D20" s="158">
        <f>Назви!C14</f>
        <v>0</v>
      </c>
      <c r="E20" s="159">
        <f>Назви!D14</f>
        <v>0</v>
      </c>
      <c r="F20" s="13">
        <f>G89-E3</f>
        <v>149926.11318047065</v>
      </c>
      <c r="G20" s="162"/>
      <c r="H20" s="162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7" t="str">
        <f>Назви!A16</f>
        <v>Орієнтовна загальна вартість кредиту, грн.</v>
      </c>
      <c r="C22" s="158">
        <f>Назви!B16</f>
        <v>0</v>
      </c>
      <c r="D22" s="158">
        <f>Назви!C16</f>
        <v>0</v>
      </c>
      <c r="E22" s="159">
        <f>Назви!D16</f>
        <v>0</v>
      </c>
      <c r="F22" s="13">
        <f>E3+F20</f>
        <v>399926.11318047065</v>
      </c>
      <c r="G22" s="156"/>
      <c r="H22" s="156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7" t="str">
        <f>Назви!A18</f>
        <v>Орієнтовна реальна річна процентна ставка, %</v>
      </c>
      <c r="C24" s="158"/>
      <c r="D24" s="158"/>
      <c r="E24" s="159"/>
      <c r="F24" s="32">
        <f ca="1">XIRR(G28:G88,C28:C88)</f>
        <v>0.63157805800437927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4" t="str">
        <f>Назви!A27</f>
        <v>Орієнтовний порядок повернення кредиту</v>
      </c>
      <c r="C26" s="165"/>
      <c r="D26" s="165"/>
      <c r="E26" s="165"/>
      <c r="F26" s="165"/>
      <c r="G26" s="165"/>
      <c r="H26" s="166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7" t="str">
        <f>Назви!F28</f>
        <v>Сума платежу за розрахунковий період, грн.</v>
      </c>
      <c r="H27" s="168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45915</v>
      </c>
      <c r="D28" s="92"/>
      <c r="E28" s="93"/>
      <c r="F28" s="92"/>
      <c r="G28" s="169">
        <f>-1*E3</f>
        <v>-250000</v>
      </c>
      <c r="H28" s="170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45945</v>
      </c>
      <c r="D29" s="129">
        <f>IFERROR(PPMT($F$9/12,B29,$F$15,-$F$7),0)</f>
        <v>6267.7547158529424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10395.833333333334</v>
      </c>
      <c r="G29" s="163">
        <f>SUM(D29:F29)</f>
        <v>16663.588049186277</v>
      </c>
      <c r="H29" s="163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45976</v>
      </c>
      <c r="D30" s="129">
        <f t="shared" ref="D30:D88" si="1">IFERROR(PPMT($F$9/12,B30,$F$15,-$F$7),0)</f>
        <v>6528.3888494538278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10135.199199732448</v>
      </c>
      <c r="G30" s="163">
        <f t="shared" ref="G30:G88" si="3">SUM(D30:F30)</f>
        <v>16663.588049186277</v>
      </c>
      <c r="H30" s="163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46006</v>
      </c>
      <c r="D31" s="129">
        <f t="shared" si="1"/>
        <v>6799.8610191102816</v>
      </c>
      <c r="E31" s="140">
        <f>IF(B31&lt;=$F$15,(E$17*(VLOOKUP($H$2,Лист2!$A:$N,12,0)-(B31-1)*VLOOKUP($H$2,Лист2!$A:$N,13,0))),0)</f>
        <v>0</v>
      </c>
      <c r="F31" s="130">
        <f t="shared" si="2"/>
        <v>9863.7270300759956</v>
      </c>
      <c r="G31" s="163">
        <f t="shared" si="3"/>
        <v>16663.588049186277</v>
      </c>
      <c r="H31" s="163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46037</v>
      </c>
      <c r="D32" s="129">
        <f t="shared" si="1"/>
        <v>7082.6219064882844</v>
      </c>
      <c r="E32" s="140">
        <f>IF(B32&lt;=$F$15,(E$17*(VLOOKUP($H$2,Лист2!$A:$N,12,0)-(B32-1)*VLOOKUP($H$2,Лист2!$A:$N,13,0))),0)</f>
        <v>0</v>
      </c>
      <c r="F32" s="130">
        <f t="shared" si="2"/>
        <v>9580.9661426979928</v>
      </c>
      <c r="G32" s="163">
        <f t="shared" si="3"/>
        <v>16663.588049186277</v>
      </c>
      <c r="H32" s="163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46068</v>
      </c>
      <c r="D33" s="129">
        <f t="shared" si="1"/>
        <v>7377.140934099757</v>
      </c>
      <c r="E33" s="140">
        <f>IF(B33&lt;=$F$15,(E$17*(VLOOKUP($H$2,Лист2!$A:$N,12,0)-(B33-1)*VLOOKUP($H$2,Лист2!$A:$N,13,0))),0)</f>
        <v>0</v>
      </c>
      <c r="F33" s="130">
        <f t="shared" si="2"/>
        <v>9286.4471150865193</v>
      </c>
      <c r="G33" s="163">
        <f t="shared" si="3"/>
        <v>16663.588049186277</v>
      </c>
      <c r="H33" s="163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46096</v>
      </c>
      <c r="D34" s="129">
        <f t="shared" si="1"/>
        <v>7683.9070446094029</v>
      </c>
      <c r="E34" s="140">
        <f>IF(B34&lt;=$F$15,(E$17*(VLOOKUP($H$2,Лист2!$A:$N,12,0)-(B34-1)*VLOOKUP($H$2,Лист2!$A:$N,13,0))),0)</f>
        <v>0</v>
      </c>
      <c r="F34" s="130">
        <f t="shared" si="2"/>
        <v>8979.6810045768725</v>
      </c>
      <c r="G34" s="163">
        <f t="shared" si="3"/>
        <v>16663.588049186277</v>
      </c>
      <c r="H34" s="163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46127</v>
      </c>
      <c r="D35" s="129">
        <f t="shared" si="1"/>
        <v>8003.4295125477447</v>
      </c>
      <c r="E35" s="140">
        <f>IF(B35&lt;=$F$15,(E$17*(VLOOKUP($H$2,Лист2!$A:$N,12,0)-(B35-1)*VLOOKUP($H$2,Лист2!$A:$N,13,0))),0)</f>
        <v>0</v>
      </c>
      <c r="F35" s="130">
        <f t="shared" si="2"/>
        <v>8660.1585366385298</v>
      </c>
      <c r="G35" s="163">
        <f t="shared" si="3"/>
        <v>16663.588049186274</v>
      </c>
      <c r="H35" s="163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46157</v>
      </c>
      <c r="D36" s="129">
        <f t="shared" si="1"/>
        <v>8336.2387897778553</v>
      </c>
      <c r="E36" s="140">
        <f>IF(B36&lt;=$F$15,(E$17*(VLOOKUP($H$2,Лист2!$A:$N,12,0)-(B36-1)*VLOOKUP($H$2,Лист2!$A:$N,13,0))),0)</f>
        <v>0</v>
      </c>
      <c r="F36" s="130">
        <f t="shared" si="2"/>
        <v>8327.34925940842</v>
      </c>
      <c r="G36" s="163">
        <f t="shared" si="3"/>
        <v>16663.588049186277</v>
      </c>
      <c r="H36" s="163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46188</v>
      </c>
      <c r="D37" s="129">
        <f t="shared" si="1"/>
        <v>8682.8873861194515</v>
      </c>
      <c r="E37" s="140">
        <f>IF(B37&lt;=$F$15,(E$17*(VLOOKUP($H$2,Лист2!$A:$N,12,0)-(B37-1)*VLOOKUP($H$2,Лист2!$A:$N,13,0))),0)</f>
        <v>0</v>
      </c>
      <c r="F37" s="130">
        <f t="shared" si="2"/>
        <v>7980.7006630668238</v>
      </c>
      <c r="G37" s="163">
        <f t="shared" si="3"/>
        <v>16663.588049186277</v>
      </c>
      <c r="H37" s="163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46218</v>
      </c>
      <c r="D38" s="129">
        <f t="shared" si="1"/>
        <v>9043.9507865922515</v>
      </c>
      <c r="E38" s="140">
        <f>IF(B38&lt;=$F$15,(E$17*(VLOOKUP($H$2,Лист2!$A:$N,12,0)-(B38-1)*VLOOKUP($H$2,Лист2!$A:$N,13,0))),0)</f>
        <v>0</v>
      </c>
      <c r="F38" s="130">
        <f t="shared" si="2"/>
        <v>7619.6372625940239</v>
      </c>
      <c r="G38" s="163">
        <f t="shared" si="3"/>
        <v>16663.588049186277</v>
      </c>
      <c r="H38" s="163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46249</v>
      </c>
      <c r="D39" s="129">
        <f t="shared" si="1"/>
        <v>9420.0284068013789</v>
      </c>
      <c r="E39" s="140">
        <f>IF(B39&lt;=$F$15,(E$17*(VLOOKUP($H$2,Лист2!$A:$N,12,0)-(B39-1)*VLOOKUP($H$2,Лист2!$A:$N,13,0))),0)</f>
        <v>0</v>
      </c>
      <c r="F39" s="130">
        <f t="shared" si="2"/>
        <v>7243.5596423848974</v>
      </c>
      <c r="G39" s="163">
        <f t="shared" si="3"/>
        <v>16663.588049186277</v>
      </c>
      <c r="H39" s="163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46280</v>
      </c>
      <c r="D40" s="129">
        <f t="shared" si="1"/>
        <v>9811.7445880508694</v>
      </c>
      <c r="E40" s="140">
        <f>IF(B40&lt;=$F$15,(E$17*(VLOOKUP($H$2,Лист2!$A:$N,12,0)-(B40-1)*VLOOKUP($H$2,Лист2!$A:$N,13,0))),0)</f>
        <v>0</v>
      </c>
      <c r="F40" s="130">
        <f t="shared" si="2"/>
        <v>6851.843461135406</v>
      </c>
      <c r="G40" s="163">
        <f t="shared" si="3"/>
        <v>16663.588049186277</v>
      </c>
      <c r="H40" s="163"/>
      <c r="I40" s="3"/>
    </row>
    <row r="41" spans="1:11" x14ac:dyDescent="0.2">
      <c r="A41" s="1">
        <v>13</v>
      </c>
      <c r="B41" s="101">
        <v>13</v>
      </c>
      <c r="C41" s="138">
        <f t="shared" ca="1" si="0"/>
        <v>46310</v>
      </c>
      <c r="D41" s="129">
        <f t="shared" si="1"/>
        <v>10219.749633837318</v>
      </c>
      <c r="E41" s="140">
        <f>IF(B41&lt;=$F$15,(E$17*(VLOOKUP($H$2,Лист2!$A:$N,12,0)-(B41-1)*VLOOKUP($H$2,Лист2!$A:$N,13,0))),0)</f>
        <v>0</v>
      </c>
      <c r="F41" s="130">
        <f t="shared" si="2"/>
        <v>6443.8384153489578</v>
      </c>
      <c r="G41" s="163">
        <f t="shared" si="3"/>
        <v>16663.588049186277</v>
      </c>
      <c r="H41" s="163"/>
      <c r="I41" s="3"/>
    </row>
    <row r="42" spans="1:11" x14ac:dyDescent="0.2">
      <c r="A42" s="1">
        <v>14</v>
      </c>
      <c r="B42" s="101">
        <v>14</v>
      </c>
      <c r="C42" s="138">
        <f t="shared" ca="1" si="0"/>
        <v>46341</v>
      </c>
      <c r="D42" s="129">
        <f t="shared" si="1"/>
        <v>10644.720889444388</v>
      </c>
      <c r="E42" s="140">
        <f>IF(B42&lt;=$F$15,(E$17*(VLOOKUP($H$2,Лист2!$A:$N,12,0)-(B42-1)*VLOOKUP($H$2,Лист2!$A:$N,13,0))),0)</f>
        <v>0</v>
      </c>
      <c r="F42" s="130">
        <f t="shared" si="2"/>
        <v>6018.8671597418879</v>
      </c>
      <c r="G42" s="163">
        <f t="shared" si="3"/>
        <v>16663.588049186277</v>
      </c>
      <c r="H42" s="163"/>
      <c r="I42" s="3"/>
    </row>
    <row r="43" spans="1:11" x14ac:dyDescent="0.2">
      <c r="A43" s="1">
        <v>15</v>
      </c>
      <c r="B43" s="101">
        <v>15</v>
      </c>
      <c r="C43" s="138">
        <f t="shared" ca="1" si="0"/>
        <v>46371</v>
      </c>
      <c r="D43" s="129">
        <f t="shared" si="1"/>
        <v>11087.363866430449</v>
      </c>
      <c r="E43" s="140">
        <f>IF(B43&lt;=$F$15,(E$17*(VLOOKUP($H$2,Лист2!$A:$N,12,0)-(B43-1)*VLOOKUP($H$2,Лист2!$A:$N,13,0))),0)</f>
        <v>0</v>
      </c>
      <c r="F43" s="130">
        <f t="shared" si="2"/>
        <v>5576.2241827558255</v>
      </c>
      <c r="G43" s="163">
        <f t="shared" si="3"/>
        <v>16663.588049186274</v>
      </c>
      <c r="H43" s="163"/>
      <c r="I43" s="3"/>
    </row>
    <row r="44" spans="1:11" x14ac:dyDescent="0.2">
      <c r="A44" s="1">
        <v>16</v>
      </c>
      <c r="B44" s="101">
        <v>16</v>
      </c>
      <c r="C44" s="138">
        <f t="shared" ca="1" si="0"/>
        <v>46402</v>
      </c>
      <c r="D44" s="129">
        <f t="shared" si="1"/>
        <v>11548.413413876182</v>
      </c>
      <c r="E44" s="140">
        <f>IF(B44&lt;=$F$15,(E$17*(VLOOKUP($H$2,Лист2!$A:$N,12,0)-(B44-1)*VLOOKUP($H$2,Лист2!$A:$N,13,0))),0)</f>
        <v>0</v>
      </c>
      <c r="F44" s="130">
        <f t="shared" si="2"/>
        <v>5115.1746353100934</v>
      </c>
      <c r="G44" s="163">
        <f t="shared" si="3"/>
        <v>16663.588049186277</v>
      </c>
      <c r="H44" s="163"/>
      <c r="I44" s="3"/>
    </row>
    <row r="45" spans="1:11" x14ac:dyDescent="0.2">
      <c r="A45" s="1">
        <v>22</v>
      </c>
      <c r="B45" s="101">
        <v>17</v>
      </c>
      <c r="C45" s="138">
        <f t="shared" ca="1" si="0"/>
        <v>46433</v>
      </c>
      <c r="D45" s="129">
        <f t="shared" si="1"/>
        <v>12028.634938336534</v>
      </c>
      <c r="E45" s="140">
        <f>IF(B45&lt;=$F$15,(E$17*(VLOOKUP($H$2,Лист2!$A:$N,12,0)-(B45-1)*VLOOKUP($H$2,Лист2!$A:$N,13,0))),0)</f>
        <v>0</v>
      </c>
      <c r="F45" s="130">
        <f t="shared" si="2"/>
        <v>4634.9531108497413</v>
      </c>
      <c r="G45" s="163">
        <f t="shared" si="3"/>
        <v>16663.588049186277</v>
      </c>
      <c r="H45" s="163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46461</v>
      </c>
      <c r="D46" s="129">
        <f t="shared" si="1"/>
        <v>12528.825674522361</v>
      </c>
      <c r="E46" s="140">
        <f>IF(B46&lt;=$F$15,(E$17*(VLOOKUP($H$2,Лист2!$A:$N,12,0)-(B46-1)*VLOOKUP($H$2,Лист2!$A:$N,13,0))),0)</f>
        <v>0</v>
      </c>
      <c r="F46" s="130">
        <f t="shared" si="2"/>
        <v>4134.7623746639156</v>
      </c>
      <c r="G46" s="163">
        <f t="shared" si="3"/>
        <v>16663.588049186277</v>
      </c>
      <c r="H46" s="163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46492</v>
      </c>
      <c r="D47" s="129">
        <f t="shared" si="1"/>
        <v>13049.81600882125</v>
      </c>
      <c r="E47" s="140">
        <f>IF(B47&lt;=$F$15,(E$17*(VLOOKUP($H$2,Лист2!$A:$N,12,0)-(B47-1)*VLOOKUP($H$2,Лист2!$A:$N,13,0))),0)</f>
        <v>0</v>
      </c>
      <c r="F47" s="130">
        <f t="shared" si="2"/>
        <v>3613.7720403650264</v>
      </c>
      <c r="G47" s="163">
        <f t="shared" si="3"/>
        <v>16663.588049186277</v>
      </c>
      <c r="H47" s="163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46522</v>
      </c>
      <c r="D48" s="129">
        <f t="shared" si="1"/>
        <v>13592.470857854736</v>
      </c>
      <c r="E48" s="140">
        <f>IF(B48&lt;=$F$15,(E$17*(VLOOKUP($H$2,Лист2!$A:$N,12,0)-(B48-1)*VLOOKUP($H$2,Лист2!$A:$N,13,0))),0)</f>
        <v>0</v>
      </c>
      <c r="F48" s="130">
        <f t="shared" si="2"/>
        <v>3071.1171913315425</v>
      </c>
      <c r="G48" s="163">
        <f t="shared" si="3"/>
        <v>16663.588049186277</v>
      </c>
      <c r="H48" s="163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46553</v>
      </c>
      <c r="D49" s="129">
        <f t="shared" si="1"/>
        <v>14157.691104360523</v>
      </c>
      <c r="E49" s="140">
        <f>IF(B49&lt;=$F$15,(E$17*(VLOOKUP($H$2,Лист2!$A:$N,12,0)-(B49-1)*VLOOKUP($H$2,Лист2!$A:$N,13,0))),0)</f>
        <v>0</v>
      </c>
      <c r="F49" s="130">
        <f t="shared" si="2"/>
        <v>2505.8969448257503</v>
      </c>
      <c r="G49" s="163">
        <f t="shared" si="3"/>
        <v>16663.588049186274</v>
      </c>
      <c r="H49" s="163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46583</v>
      </c>
      <c r="D50" s="129">
        <f t="shared" si="1"/>
        <v>14746.415092783518</v>
      </c>
      <c r="E50" s="140">
        <f>IF(B50&lt;=$F$15,(E$17*(VLOOKUP($H$2,Лист2!$A:$N,12,0)-(B50-1)*VLOOKUP($H$2,Лист2!$A:$N,13,0))),0)</f>
        <v>0</v>
      </c>
      <c r="F50" s="130">
        <f t="shared" si="2"/>
        <v>1917.1729564027585</v>
      </c>
      <c r="G50" s="163">
        <f t="shared" si="3"/>
        <v>16663.588049186277</v>
      </c>
      <c r="H50" s="163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46614</v>
      </c>
      <c r="D51" s="129">
        <f t="shared" si="1"/>
        <v>15359.620187058432</v>
      </c>
      <c r="E51" s="140">
        <f>IF(B51&lt;=$F$15,(E$17*(VLOOKUP($H$2,Лист2!$A:$N,12,0)-(B51-1)*VLOOKUP($H$2,Лист2!$A:$N,13,0))),0)</f>
        <v>0</v>
      </c>
      <c r="F51" s="130">
        <f t="shared" si="2"/>
        <v>1303.9678621278438</v>
      </c>
      <c r="G51" s="163">
        <f t="shared" si="3"/>
        <v>16663.588049186277</v>
      </c>
      <c r="H51" s="163"/>
      <c r="I51" s="3"/>
    </row>
    <row r="52" spans="1:11" x14ac:dyDescent="0.2">
      <c r="A52" s="49"/>
      <c r="B52" s="101">
        <v>24</v>
      </c>
      <c r="C52" s="138">
        <f t="shared" ca="1" si="0"/>
        <v>46645</v>
      </c>
      <c r="D52" s="129">
        <f t="shared" si="1"/>
        <v>15998.324393170278</v>
      </c>
      <c r="E52" s="140">
        <f>IF(B52&lt;=$F$15,(E$17*(VLOOKUP($H$2,Лист2!$A:$N,12,0)-(B52-1)*VLOOKUP($H$2,Лист2!$A:$N,13,0))),0)</f>
        <v>0</v>
      </c>
      <c r="F52" s="130">
        <f t="shared" si="2"/>
        <v>665.2636560159973</v>
      </c>
      <c r="G52" s="163">
        <f t="shared" si="3"/>
        <v>16663.588049186277</v>
      </c>
      <c r="H52" s="163"/>
      <c r="I52" s="3"/>
    </row>
    <row r="53" spans="1:11" x14ac:dyDescent="0.2">
      <c r="A53" s="49"/>
      <c r="B53" s="101">
        <v>25</v>
      </c>
      <c r="C53" s="138">
        <f t="shared" ca="1" si="0"/>
        <v>46675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3">
        <f t="shared" si="3"/>
        <v>0</v>
      </c>
      <c r="H53" s="163"/>
      <c r="I53" s="3"/>
    </row>
    <row r="54" spans="1:11" x14ac:dyDescent="0.2">
      <c r="A54" s="49"/>
      <c r="B54" s="101">
        <v>26</v>
      </c>
      <c r="C54" s="138">
        <f t="shared" ca="1" si="0"/>
        <v>46706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3">
        <f t="shared" si="3"/>
        <v>0</v>
      </c>
      <c r="H54" s="163"/>
      <c r="I54" s="3"/>
    </row>
    <row r="55" spans="1:11" x14ac:dyDescent="0.2">
      <c r="A55" s="49"/>
      <c r="B55" s="101">
        <v>27</v>
      </c>
      <c r="C55" s="138">
        <f t="shared" ca="1" si="0"/>
        <v>46736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3">
        <f t="shared" si="3"/>
        <v>0</v>
      </c>
      <c r="H55" s="163"/>
      <c r="I55" s="3"/>
    </row>
    <row r="56" spans="1:11" x14ac:dyDescent="0.2">
      <c r="A56" s="49"/>
      <c r="B56" s="101">
        <v>28</v>
      </c>
      <c r="C56" s="138">
        <f t="shared" ca="1" si="0"/>
        <v>46767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3">
        <f t="shared" si="3"/>
        <v>0</v>
      </c>
      <c r="H56" s="163"/>
      <c r="I56" s="3"/>
    </row>
    <row r="57" spans="1:11" x14ac:dyDescent="0.2">
      <c r="A57" s="49"/>
      <c r="B57" s="101">
        <v>29</v>
      </c>
      <c r="C57" s="138">
        <f t="shared" ca="1" si="0"/>
        <v>46798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3">
        <f t="shared" si="3"/>
        <v>0</v>
      </c>
      <c r="H57" s="163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46827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3">
        <f t="shared" si="3"/>
        <v>0</v>
      </c>
      <c r="H58" s="163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46858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3">
        <f t="shared" si="3"/>
        <v>0</v>
      </c>
      <c r="H59" s="163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46888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3">
        <f t="shared" si="3"/>
        <v>0</v>
      </c>
      <c r="H60" s="163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46919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3">
        <f t="shared" si="3"/>
        <v>0</v>
      </c>
      <c r="H61" s="163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46949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3">
        <f t="shared" si="3"/>
        <v>0</v>
      </c>
      <c r="H62" s="163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46980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3">
        <f t="shared" si="3"/>
        <v>0</v>
      </c>
      <c r="H63" s="163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47011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3">
        <f t="shared" si="3"/>
        <v>0</v>
      </c>
      <c r="H64" s="163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47041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3">
        <f t="shared" si="3"/>
        <v>0</v>
      </c>
      <c r="H65" s="163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47072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3">
        <f t="shared" si="3"/>
        <v>0</v>
      </c>
      <c r="H66" s="163"/>
      <c r="I66" s="106"/>
      <c r="J66" s="106"/>
    </row>
    <row r="67" spans="1:10" x14ac:dyDescent="0.2">
      <c r="A67" s="49"/>
      <c r="B67" s="101">
        <v>39</v>
      </c>
      <c r="C67" s="104">
        <f t="shared" ca="1" si="0"/>
        <v>47102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3">
        <f t="shared" si="3"/>
        <v>0</v>
      </c>
      <c r="H67" s="163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47133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3">
        <f t="shared" si="3"/>
        <v>0</v>
      </c>
      <c r="H68" s="163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47164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3">
        <f t="shared" si="3"/>
        <v>0</v>
      </c>
      <c r="H69" s="163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47192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3">
        <f t="shared" si="3"/>
        <v>0</v>
      </c>
      <c r="H70" s="163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47223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3">
        <f t="shared" si="3"/>
        <v>0</v>
      </c>
      <c r="H71" s="163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47253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3">
        <f t="shared" si="3"/>
        <v>0</v>
      </c>
      <c r="H72" s="163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47284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3">
        <f t="shared" si="3"/>
        <v>0</v>
      </c>
      <c r="H73" s="163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47314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3">
        <f t="shared" si="3"/>
        <v>0</v>
      </c>
      <c r="H74" s="163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47345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3">
        <f t="shared" si="3"/>
        <v>0</v>
      </c>
      <c r="H75" s="163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47376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3">
        <f t="shared" si="3"/>
        <v>0</v>
      </c>
      <c r="H76" s="163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47406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3">
        <f t="shared" si="3"/>
        <v>0</v>
      </c>
      <c r="H77" s="163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47437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3">
        <f t="shared" si="3"/>
        <v>0</v>
      </c>
      <c r="H78" s="163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47467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3">
        <f t="shared" si="3"/>
        <v>0</v>
      </c>
      <c r="H79" s="163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47498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3">
        <f t="shared" si="3"/>
        <v>0</v>
      </c>
      <c r="H80" s="163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47529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3">
        <f t="shared" si="3"/>
        <v>0</v>
      </c>
      <c r="H81" s="163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47557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3">
        <f t="shared" si="3"/>
        <v>0</v>
      </c>
      <c r="H82" s="163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47588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3">
        <f t="shared" si="3"/>
        <v>0</v>
      </c>
      <c r="H83" s="163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47618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3">
        <f t="shared" si="3"/>
        <v>0</v>
      </c>
      <c r="H84" s="163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47649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3">
        <f t="shared" si="3"/>
        <v>0</v>
      </c>
      <c r="H85" s="163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47679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3">
        <f t="shared" si="3"/>
        <v>0</v>
      </c>
      <c r="H86" s="163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47710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3">
        <f t="shared" si="3"/>
        <v>0</v>
      </c>
      <c r="H87" s="163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47741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6">
        <f t="shared" si="3"/>
        <v>0</v>
      </c>
      <c r="H88" s="176"/>
      <c r="I88" s="106"/>
      <c r="J88" s="106"/>
    </row>
    <row r="89" spans="1:10" ht="16.5" thickBot="1" x14ac:dyDescent="0.25">
      <c r="A89" s="49"/>
      <c r="B89" s="171" t="s">
        <v>1</v>
      </c>
      <c r="C89" s="172"/>
      <c r="D89" s="133">
        <f>SUM(D29:D88)</f>
        <v>250000</v>
      </c>
      <c r="E89" s="133">
        <f>SUM(E29:E88)</f>
        <v>0</v>
      </c>
      <c r="F89" s="133">
        <f>SUM(F29:F88)</f>
        <v>149926.11318047062</v>
      </c>
      <c r="G89" s="173">
        <f>SUM(G29:H88)</f>
        <v>399926.11318047065</v>
      </c>
      <c r="H89" s="17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5" t="s">
        <v>3</v>
      </c>
      <c r="F91" s="175"/>
      <c r="G91" s="17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$K$15:$K$18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I23" sqref="I23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500000</v>
      </c>
      <c r="C4" s="117">
        <v>60</v>
      </c>
      <c r="D4" s="118">
        <v>0.499</v>
      </c>
      <c r="E4" s="141">
        <v>0</v>
      </c>
      <c r="F4" s="118">
        <v>0</v>
      </c>
      <c r="G4" s="117" t="str">
        <f t="shared" ref="G4" si="0">I$2&amp;" "&amp;B4&amp;" "&amp;H$2</f>
        <v>max. 500000 грн.</v>
      </c>
      <c r="H4" s="142">
        <f>B4+E4</f>
        <v>500000</v>
      </c>
      <c r="I4" s="117"/>
      <c r="J4" s="117">
        <v>5</v>
      </c>
      <c r="K4" s="119">
        <f t="shared" ref="K4" si="1">D4/12/(1-1/POWER(1+D4/12,C4))*H4+H4*F4</f>
        <v>22767.120006011068</v>
      </c>
      <c r="L4" s="120">
        <v>0</v>
      </c>
      <c r="M4" s="121">
        <v>0</v>
      </c>
      <c r="N4" s="117">
        <v>50000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0.499</v>
      </c>
      <c r="E5" s="141">
        <v>0</v>
      </c>
      <c r="F5" s="118">
        <v>0</v>
      </c>
      <c r="G5" s="117" t="str">
        <f t="shared" ref="G5:G6" si="2">I$2&amp;" "&amp;B5&amp;" "&amp;H$2</f>
        <v>max. 500000 грн.</v>
      </c>
      <c r="H5" s="142">
        <f>B5+E5</f>
        <v>500000</v>
      </c>
      <c r="I5" s="117"/>
      <c r="J5" s="117">
        <v>5</v>
      </c>
      <c r="K5" s="119">
        <f t="shared" ref="K5:K6" si="3">D5/12/(1-1/POWER(1+D5/12,C5))*H5+H5*F5</f>
        <v>27026.129887186016</v>
      </c>
      <c r="L5" s="120">
        <v>0</v>
      </c>
      <c r="M5" s="121">
        <v>0</v>
      </c>
      <c r="N5" s="117">
        <v>50000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0.499</v>
      </c>
      <c r="E6" s="141">
        <v>0</v>
      </c>
      <c r="F6" s="118">
        <v>0</v>
      </c>
      <c r="G6" s="117" t="str">
        <f t="shared" si="2"/>
        <v>max. 500000 грн.</v>
      </c>
      <c r="H6" s="142">
        <f t="shared" ref="H6:H7" si="4">B6+E6</f>
        <v>500000</v>
      </c>
      <c r="I6" s="117"/>
      <c r="J6" s="117">
        <v>6</v>
      </c>
      <c r="K6" s="119">
        <f t="shared" si="3"/>
        <v>33327.176098372562</v>
      </c>
      <c r="L6" s="120">
        <v>0</v>
      </c>
      <c r="M6" s="121">
        <v>0</v>
      </c>
      <c r="N6" s="117">
        <v>50000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0.499</v>
      </c>
      <c r="E7" s="141">
        <v>0</v>
      </c>
      <c r="F7" s="118">
        <v>0</v>
      </c>
      <c r="G7" s="117" t="str">
        <f t="shared" ref="G7" si="5">I$2&amp;" "&amp;B7&amp;" "&amp;H$2</f>
        <v>max. 500000 грн.</v>
      </c>
      <c r="H7" s="142">
        <f t="shared" si="4"/>
        <v>500000</v>
      </c>
      <c r="I7" s="117"/>
      <c r="J7" s="117">
        <v>7</v>
      </c>
      <c r="K7" s="119">
        <f t="shared" ref="K7" si="6">D7/12/(1-1/POWER(1+D7/12,C7))*H7+H7*F7</f>
        <v>53766.675366047202</v>
      </c>
      <c r="L7" s="120">
        <v>0</v>
      </c>
      <c r="M7" s="121">
        <v>0</v>
      </c>
      <c r="N7" s="117">
        <v>50000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2" t="s">
        <v>13</v>
      </c>
      <c r="B1" s="193"/>
      <c r="C1" s="193"/>
      <c r="D1" s="19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7" t="s">
        <v>29</v>
      </c>
      <c r="B3" s="188"/>
      <c r="C3" s="188"/>
      <c r="D3" s="18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7" t="s">
        <v>45</v>
      </c>
      <c r="B5" s="188"/>
      <c r="C5" s="188"/>
      <c r="D5" s="18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7" t="s">
        <v>30</v>
      </c>
      <c r="B7" s="188"/>
      <c r="C7" s="188"/>
      <c r="D7" s="18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7" t="s">
        <v>43</v>
      </c>
      <c r="B9" s="188"/>
      <c r="C9" s="188"/>
      <c r="D9" s="18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7" t="s">
        <v>42</v>
      </c>
      <c r="B12" s="188"/>
      <c r="C12" s="188"/>
      <c r="D12" s="18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7" t="s">
        <v>37</v>
      </c>
      <c r="B14" s="188"/>
      <c r="C14" s="188"/>
      <c r="D14" s="18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7" t="s">
        <v>41</v>
      </c>
      <c r="B16" s="188"/>
      <c r="C16" s="188"/>
      <c r="D16" s="18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90" t="s">
        <v>5</v>
      </c>
      <c r="B20" s="19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7" t="s">
        <v>16</v>
      </c>
      <c r="B21" s="178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7" t="s">
        <v>6</v>
      </c>
      <c r="B22" s="178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7" t="s">
        <v>14</v>
      </c>
      <c r="B23" s="178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7" t="s">
        <v>15</v>
      </c>
      <c r="B24" s="178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0" t="s">
        <v>35</v>
      </c>
      <c r="B27" s="181"/>
      <c r="C27" s="181"/>
      <c r="D27" s="181"/>
      <c r="E27" s="181"/>
      <c r="F27" s="181"/>
      <c r="G27" s="182"/>
    </row>
    <row r="28" spans="1:8" ht="45.75" thickBot="1" x14ac:dyDescent="0.25">
      <c r="A28" s="183" t="s">
        <v>2</v>
      </c>
      <c r="B28" s="184"/>
      <c r="C28" s="84" t="s">
        <v>33</v>
      </c>
      <c r="D28" s="84" t="s">
        <v>31</v>
      </c>
      <c r="E28" s="84" t="s">
        <v>32</v>
      </c>
      <c r="F28" s="185" t="s">
        <v>34</v>
      </c>
      <c r="G28" s="186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9"/>
      <c r="E30" s="179"/>
      <c r="F30" s="179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Бест лід</vt:lpstr>
      <vt:lpstr>Лист2</vt:lpstr>
      <vt:lpstr>Назви</vt:lpstr>
      <vt:lpstr>'Бест лід'!Область_друку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2025-09-15T13:14:31Z</dcterms:modified>
</cp:coreProperties>
</file>