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BigCash\"/>
    </mc:Choice>
  </mc:AlternateContent>
  <xr:revisionPtr revIDLastSave="0" documentId="13_ncr:1_{2319921A-F324-4008-9187-DCF3FE7498A4}" xr6:coauthVersionLast="47" xr6:coauthVersionMax="47" xr10:uidLastSave="{00000000-0000-0000-0000-000000000000}"/>
  <workbookProtection workbookAlgorithmName="SHA-512" workbookHashValue="hxbpViE6+leL+CmR9BrLbkXSuUzr6aW3dc5YghIPZXo57PtJDYxtHxV5Ih5tgVqcjUIcDQZrKiSC52qRe1e9kQ==" workbookSaltValue="1iK9Ux+AmVo+o7vxsYaO+w==" workbookSpinCount="100000" lockStructure="1"/>
  <bookViews>
    <workbookView xWindow="-120" yWindow="-120" windowWidth="29040" windowHeight="15990" tabRatio="831" xr2:uid="{00000000-000D-0000-FFFF-FFFF00000000}"/>
  </bookViews>
  <sheets>
    <sheet name="Big Cash" sheetId="189" r:id="rId1"/>
    <sheet name="Лист2" sheetId="165" state="hidden" r:id="rId2"/>
    <sheet name="Назви" sheetId="161" state="hidden" r:id="rId3"/>
  </sheets>
  <definedNames>
    <definedName name="_xlnm._FilterDatabase" localSheetId="0" hidden="1">'Big Cash'!$A$27:$H$89</definedName>
    <definedName name="_xlnm.Print_Area" localSheetId="0">'Big Cash'!$A$1:$J$92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5" i="189"/>
  <c r="K16" i="189"/>
  <c r="K17" i="189"/>
  <c r="G4" i="165"/>
  <c r="H4" i="165"/>
  <c r="K4" i="165" s="1"/>
  <c r="K14" i="189" l="1"/>
  <c r="H7" i="165" l="1"/>
  <c r="K7" i="165" s="1"/>
  <c r="G7" i="165"/>
  <c r="G5" i="165" l="1"/>
  <c r="H5" i="165"/>
  <c r="K5" i="165" s="1"/>
  <c r="G6" i="165"/>
  <c r="H6" i="165"/>
  <c r="K6" i="165" s="1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G23" i="161" s="1"/>
  <c r="E23" i="161"/>
  <c r="F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<sst xmlns="http://schemas.openxmlformats.org/spreadsheetml/2006/main" count="55" uniqueCount="50">
  <si>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</si>
  <si>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</si>
  <si>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</si>
  <si>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</si>
  <si>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</si>
  <si>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</si>
  <si>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</si>
  <si>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</si>
  <si>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</si>
  <si>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</si>
  <si>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</si>
  <si>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</si>
  <si>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</si>
  <si>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</si>
  <si>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</si>
  <si>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</si>
  <si>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</si>
  <si>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</si>
  <si>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</si>
  <si>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</si>
  <si>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</si>
  <si>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</si>
  <si>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</si>
  <si>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</si>
  <si>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</si>
  <si>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</si>
  <si>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</si>
  <si>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</si>
  <si>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</si>
  <si>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</si>
  <si>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</si>
  <si>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</si>
  <si>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</si>
  <si>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</si>
  <si>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</si>
  <si>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</si>
  <si>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</si>
  <si>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</si>
  <si>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</si>
  <si>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</si>
  <si>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</si>
  <si>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</si>
  <si>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</si>
  <si>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</si>
  <si>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</si>
  <si>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</si>
  <si>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Big Cash,  60 міс.</t>
  </si>
  <si>
    <t>Big Cash,  36 міс.</t>
  </si>
  <si>
    <t>Big Cash,  24 міс.</t>
  </si>
  <si>
    <t>Big Cash, 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</si>
</sst>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1295400</xdr:colOff>
      <xdr:row>3</xdr:row>
      <xdr:rowOff>104775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0"/>
          <a:ext cx="2790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VLOOKUP('Big Cash'!H2,Лист2!A:N,14,FALSE)</f>
        <v>300001</v>
      </c>
      <c r="F2" s="100">
        <f>VLOOKUP(H$2,Лист2!$A:$G,2,0)</f>
        <v>500000</v>
      </c>
      <c r="G2" s="116">
        <f ca="1">TODAY()</f>
        <v>45915</v>
      </c>
      <c r="H2" s="145" t="s">
        <v>46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350000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500000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350000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41" t="s">
        <v>41</v>
      </c>
      <c r="C7" s="142"/>
      <c r="D7" s="142"/>
      <c r="E7" s="143"/>
      <c r="F7" s="13">
        <f>D89</f>
        <v>349999.99999999994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0.65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Big Cash,  60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60</v>
      </c>
      <c r="G15" s="153"/>
      <c r="H15" s="153"/>
      <c r="I15" s="3"/>
      <c r="J15" s="43"/>
      <c r="K15" s="113" t="str">
        <f>Лист2!A5</f>
        <v>Big Cash,  36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Big Cash,  24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350000</v>
      </c>
      <c r="F17" s="50"/>
      <c r="G17" s="96"/>
      <c r="H17" s="11"/>
      <c r="I17" s="1"/>
      <c r="J17" s="99"/>
      <c r="K17" s="113" t="str">
        <f>Лист2!A7</f>
        <v>Big Cash,  12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19793.886938533167</v>
      </c>
      <c r="G18" s="157"/>
      <c r="H18" s="158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837633.21631199075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1187633.2163119907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0.8838021874427795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45915</v>
      </c>
      <c r="D28" s="92"/>
      <c r="E28" s="93"/>
      <c r="F28" s="92"/>
      <c r="G28" s="166">
        <f>-1*E3</f>
        <v>-350000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45945</v>
      </c>
      <c r="D29" s="129">
        <f>IFERROR(PPMT($F$9/12,B29,$F$15,-$E$3),0)</f>
        <v>835.55360519983321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18958.333333333336</v>
      </c>
      <c r="G29" s="160">
        <f>SUM(D29:F29)</f>
        <v>19793.886938533167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45976</v>
      </c>
      <c r="D30" s="129">
        <f t="shared" ref="D30:D88" si="1">IFERROR(PPMT($F$9/12,B30,$F$15,-$E$3),0)</f>
        <v>880.81275881482429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18913.074179718344</v>
      </c>
      <c r="G30" s="160">
        <f t="shared" ref="G30:G88" si="3">SUM(D30:F30)</f>
        <v>19793.886938533167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46006</v>
      </c>
      <c r="D31" s="129">
        <f t="shared" si="1"/>
        <v>928.52344991729387</v>
      </c>
      <c r="E31" s="140">
        <f>IF(B31&lt;=$F$15,(E$17*(VLOOKUP($H$2,Лист2!$A:$N,12,0)-(B31-1)*VLOOKUP($H$2,Лист2!$A:$N,13,0))),0)</f>
        <v>0</v>
      </c>
      <c r="F31" s="130">
        <f t="shared" si="2"/>
        <v>18865.363488615876</v>
      </c>
      <c r="G31" s="160">
        <f t="shared" si="3"/>
        <v>19793.886938533171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46037</v>
      </c>
      <c r="D32" s="129">
        <f t="shared" si="1"/>
        <v>978.81847012114736</v>
      </c>
      <c r="E32" s="140">
        <f>IF(B32&lt;=$F$15,(E$17*(VLOOKUP($H$2,Лист2!$A:$N,12,0)-(B32-1)*VLOOKUP($H$2,Лист2!$A:$N,13,0))),0)</f>
        <v>0</v>
      </c>
      <c r="F32" s="130">
        <f t="shared" si="2"/>
        <v>18815.068468412021</v>
      </c>
      <c r="G32" s="160">
        <f t="shared" si="3"/>
        <v>19793.886938533167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46068</v>
      </c>
      <c r="D33" s="129">
        <f t="shared" si="1"/>
        <v>1031.837803919376</v>
      </c>
      <c r="E33" s="140">
        <f>IF(B33&lt;=$F$15,(E$17*(VLOOKUP($H$2,Лист2!$A:$N,12,0)-(B33-1)*VLOOKUP($H$2,Лист2!$A:$N,13,0))),0)</f>
        <v>0</v>
      </c>
      <c r="F33" s="130">
        <f t="shared" si="2"/>
        <v>18762.049134613793</v>
      </c>
      <c r="G33" s="160">
        <f t="shared" si="3"/>
        <v>19793.886938533171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46096</v>
      </c>
      <c r="D34" s="129">
        <f t="shared" si="1"/>
        <v>1087.7290182983427</v>
      </c>
      <c r="E34" s="140">
        <f>IF(B34&lt;=$F$15,(E$17*(VLOOKUP($H$2,Лист2!$A:$N,12,0)-(B34-1)*VLOOKUP($H$2,Лист2!$A:$N,13,0))),0)</f>
        <v>0</v>
      </c>
      <c r="F34" s="130">
        <f t="shared" si="2"/>
        <v>18706.157920234826</v>
      </c>
      <c r="G34" s="160">
        <f t="shared" si="3"/>
        <v>19793.886938533167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46127</v>
      </c>
      <c r="D35" s="129">
        <f t="shared" si="1"/>
        <v>1146.6476734561691</v>
      </c>
      <c r="E35" s="140">
        <f>IF(B35&lt;=$F$15,(E$17*(VLOOKUP($H$2,Лист2!$A:$N,12,0)-(B35-1)*VLOOKUP($H$2,Лист2!$A:$N,13,0))),0)</f>
        <v>0</v>
      </c>
      <c r="F35" s="130">
        <f t="shared" si="2"/>
        <v>18647.239265076998</v>
      </c>
      <c r="G35" s="160">
        <f t="shared" si="3"/>
        <v>19793.886938533167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46157</v>
      </c>
      <c r="D36" s="129">
        <f t="shared" si="1"/>
        <v>1208.7577557683785</v>
      </c>
      <c r="E36" s="140">
        <f>IF(B36&lt;=$F$15,(E$17*(VLOOKUP($H$2,Лист2!$A:$N,12,0)-(B36-1)*VLOOKUP($H$2,Лист2!$A:$N,13,0))),0)</f>
        <v>0</v>
      </c>
      <c r="F36" s="130">
        <f t="shared" si="2"/>
        <v>18585.129182764791</v>
      </c>
      <c r="G36" s="160">
        <f t="shared" si="3"/>
        <v>19793.886938533171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46188</v>
      </c>
      <c r="D37" s="129">
        <f t="shared" si="1"/>
        <v>1274.2321342058322</v>
      </c>
      <c r="E37" s="140">
        <f>IF(B37&lt;=$F$15,(E$17*(VLOOKUP($H$2,Лист2!$A:$N,12,0)-(B37-1)*VLOOKUP($H$2,Лист2!$A:$N,13,0))),0)</f>
        <v>0</v>
      </c>
      <c r="F37" s="130">
        <f t="shared" si="2"/>
        <v>18519.654804327336</v>
      </c>
      <c r="G37" s="160">
        <f t="shared" si="3"/>
        <v>19793.886938533167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46218</v>
      </c>
      <c r="D38" s="129">
        <f t="shared" si="1"/>
        <v>1343.2530414753146</v>
      </c>
      <c r="E38" s="140">
        <f>IF(B38&lt;=$F$15,(E$17*(VLOOKUP($H$2,Лист2!$A:$N,12,0)-(B38-1)*VLOOKUP($H$2,Лист2!$A:$N,13,0))),0)</f>
        <v>0</v>
      </c>
      <c r="F38" s="130">
        <f t="shared" si="2"/>
        <v>18450.633897057854</v>
      </c>
      <c r="G38" s="160">
        <f t="shared" si="3"/>
        <v>19793.886938533171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46249</v>
      </c>
      <c r="D39" s="129">
        <f t="shared" si="1"/>
        <v>1416.0125812218942</v>
      </c>
      <c r="E39" s="140">
        <f>IF(B39&lt;=$F$15,(E$17*(VLOOKUP($H$2,Лист2!$A:$N,12,0)-(B39-1)*VLOOKUP($H$2,Лист2!$A:$N,13,0))),0)</f>
        <v>0</v>
      </c>
      <c r="F39" s="130">
        <f t="shared" si="2"/>
        <v>18377.874357311273</v>
      </c>
      <c r="G39" s="160">
        <f t="shared" si="3"/>
        <v>19793.886938533167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46280</v>
      </c>
      <c r="D40" s="129">
        <f t="shared" si="1"/>
        <v>1492.713262704747</v>
      </c>
      <c r="E40" s="140">
        <f>IF(B40&lt;=$F$15,(E$17*(VLOOKUP($H$2,Лист2!$A:$N,12,0)-(B40-1)*VLOOKUP($H$2,Лист2!$A:$N,13,0))),0)</f>
        <v>0</v>
      </c>
      <c r="F40" s="130">
        <f t="shared" si="2"/>
        <v>18301.173675828421</v>
      </c>
      <c r="G40" s="160">
        <f t="shared" si="3"/>
        <v>19793.886938533167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46310</v>
      </c>
      <c r="D41" s="129">
        <f t="shared" si="1"/>
        <v>1573.568564434587</v>
      </c>
      <c r="E41" s="140">
        <f>IF(B41&lt;=$F$15,(E$17*(VLOOKUP($H$2,Лист2!$A:$N,12,0)-(B41-1)*VLOOKUP($H$2,Лист2!$A:$N,13,0))),0)</f>
        <v>0</v>
      </c>
      <c r="F41" s="130">
        <f t="shared" si="2"/>
        <v>18220.318374098581</v>
      </c>
      <c r="G41" s="160">
        <f t="shared" si="3"/>
        <v>19793.886938533167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46341</v>
      </c>
      <c r="D42" s="129">
        <f t="shared" si="1"/>
        <v>1658.8035283414611</v>
      </c>
      <c r="E42" s="140">
        <f>IF(B42&lt;=$F$15,(E$17*(VLOOKUP($H$2,Лист2!$A:$N,12,0)-(B42-1)*VLOOKUP($H$2,Лист2!$A:$N,13,0))),0)</f>
        <v>0</v>
      </c>
      <c r="F42" s="130">
        <f t="shared" si="2"/>
        <v>18135.083410191706</v>
      </c>
      <c r="G42" s="160">
        <f t="shared" si="3"/>
        <v>19793.886938533167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46371</v>
      </c>
      <c r="D43" s="129">
        <f t="shared" si="1"/>
        <v>1748.6553861266236</v>
      </c>
      <c r="E43" s="140">
        <f>IF(B43&lt;=$F$15,(E$17*(VLOOKUP($H$2,Лист2!$A:$N,12,0)-(B43-1)*VLOOKUP($H$2,Лист2!$A:$N,13,0))),0)</f>
        <v>0</v>
      </c>
      <c r="F43" s="130">
        <f t="shared" si="2"/>
        <v>18045.231552406545</v>
      </c>
      <c r="G43" s="160">
        <f t="shared" si="3"/>
        <v>19793.886938533167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46402</v>
      </c>
      <c r="D44" s="129">
        <f t="shared" si="1"/>
        <v>1843.3742195418154</v>
      </c>
      <c r="E44" s="140">
        <f>IF(B44&lt;=$F$15,(E$17*(VLOOKUP($H$2,Лист2!$A:$N,12,0)-(B44-1)*VLOOKUP($H$2,Лист2!$A:$N,13,0))),0)</f>
        <v>0</v>
      </c>
      <c r="F44" s="130">
        <f t="shared" si="2"/>
        <v>17950.512718991355</v>
      </c>
      <c r="G44" s="160">
        <f t="shared" si="3"/>
        <v>19793.886938533171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46433</v>
      </c>
      <c r="D45" s="129">
        <f t="shared" si="1"/>
        <v>1943.223656433664</v>
      </c>
      <c r="E45" s="140">
        <f>IF(B45&lt;=$F$15,(E$17*(VLOOKUP($H$2,Лист2!$A:$N,12,0)-(B45-1)*VLOOKUP($H$2,Лист2!$A:$N,13,0))),0)</f>
        <v>0</v>
      </c>
      <c r="F45" s="130">
        <f t="shared" si="2"/>
        <v>17850.663282099504</v>
      </c>
      <c r="G45" s="160">
        <f t="shared" si="3"/>
        <v>19793.886938533167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46461</v>
      </c>
      <c r="D46" s="129">
        <f t="shared" si="1"/>
        <v>2048.4816044904869</v>
      </c>
      <c r="E46" s="140">
        <f>IF(B46&lt;=$F$15,(E$17*(VLOOKUP($H$2,Лист2!$A:$N,12,0)-(B46-1)*VLOOKUP($H$2,Лист2!$A:$N,13,0))),0)</f>
        <v>0</v>
      </c>
      <c r="F46" s="130">
        <f t="shared" si="2"/>
        <v>17745.405334042684</v>
      </c>
      <c r="G46" s="160">
        <f t="shared" si="3"/>
        <v>19793.886938533171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46492</v>
      </c>
      <c r="D47" s="129">
        <f t="shared" si="1"/>
        <v>2159.4410247337223</v>
      </c>
      <c r="E47" s="140">
        <f>IF(B47&lt;=$F$15,(E$17*(VLOOKUP($H$2,Лист2!$A:$N,12,0)-(B47-1)*VLOOKUP($H$2,Лист2!$A:$N,13,0))),0)</f>
        <v>0</v>
      </c>
      <c r="F47" s="130">
        <f t="shared" si="2"/>
        <v>17634.445913799449</v>
      </c>
      <c r="G47" s="160">
        <f t="shared" si="3"/>
        <v>19793.886938533171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46522</v>
      </c>
      <c r="D48" s="129">
        <f t="shared" si="1"/>
        <v>2276.4107469067981</v>
      </c>
      <c r="E48" s="140">
        <f>IF(B48&lt;=$F$15,(E$17*(VLOOKUP($H$2,Лист2!$A:$N,12,0)-(B48-1)*VLOOKUP($H$2,Лист2!$A:$N,13,0))),0)</f>
        <v>0</v>
      </c>
      <c r="F48" s="130">
        <f t="shared" si="2"/>
        <v>17517.476191626371</v>
      </c>
      <c r="G48" s="160">
        <f t="shared" si="3"/>
        <v>19793.886938533167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46553</v>
      </c>
      <c r="D49" s="129">
        <f t="shared" si="1"/>
        <v>2399.7163290309172</v>
      </c>
      <c r="E49" s="140">
        <f>IF(B49&lt;=$F$15,(E$17*(VLOOKUP($H$2,Лист2!$A:$N,12,0)-(B49-1)*VLOOKUP($H$2,Лист2!$A:$N,13,0))),0)</f>
        <v>0</v>
      </c>
      <c r="F49" s="130">
        <f t="shared" si="2"/>
        <v>17394.170609502253</v>
      </c>
      <c r="G49" s="160">
        <f t="shared" si="3"/>
        <v>19793.886938533171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46583</v>
      </c>
      <c r="D50" s="129">
        <f t="shared" si="1"/>
        <v>2529.7009635200911</v>
      </c>
      <c r="E50" s="140">
        <f>IF(B50&lt;=$F$15,(E$17*(VLOOKUP($H$2,Лист2!$A:$N,12,0)-(B50-1)*VLOOKUP($H$2,Лист2!$A:$N,13,0))),0)</f>
        <v>0</v>
      </c>
      <c r="F50" s="130">
        <f t="shared" si="2"/>
        <v>17264.185975013079</v>
      </c>
      <c r="G50" s="160">
        <f t="shared" si="3"/>
        <v>19793.886938533171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46614</v>
      </c>
      <c r="D51" s="129">
        <f t="shared" si="1"/>
        <v>2666.7264323774298</v>
      </c>
      <c r="E51" s="140">
        <f>IF(B51&lt;=$F$15,(E$17*(VLOOKUP($H$2,Лист2!$A:$N,12,0)-(B51-1)*VLOOKUP($H$2,Лист2!$A:$N,13,0))),0)</f>
        <v>0</v>
      </c>
      <c r="F51" s="130">
        <f t="shared" si="2"/>
        <v>17127.160506155738</v>
      </c>
      <c r="G51" s="160">
        <f t="shared" si="3"/>
        <v>19793.886938533167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46645</v>
      </c>
      <c r="D52" s="129">
        <f t="shared" si="1"/>
        <v>2811.1741141312073</v>
      </c>
      <c r="E52" s="140">
        <f>IF(B52&lt;=$F$15,(E$17*(VLOOKUP($H$2,Лист2!$A:$N,12,0)-(B52-1)*VLOOKUP($H$2,Лист2!$A:$N,13,0))),0)</f>
        <v>0</v>
      </c>
      <c r="F52" s="130">
        <f t="shared" si="2"/>
        <v>16982.712824401962</v>
      </c>
      <c r="G52" s="160">
        <f t="shared" si="3"/>
        <v>19793.886938533171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46675</v>
      </c>
      <c r="D53" s="129">
        <f t="shared" si="1"/>
        <v>2963.4460453133138</v>
      </c>
      <c r="E53" s="140">
        <f>IF(B53&lt;=$F$15,(E$17*(VLOOKUP($H$2,Лист2!$A:$N,12,0)-(B53-1)*VLOOKUP($H$2,Лист2!$A:$N,13,0))),0)</f>
        <v>0</v>
      </c>
      <c r="F53" s="130">
        <f t="shared" si="2"/>
        <v>16830.440893219857</v>
      </c>
      <c r="G53" s="160">
        <f t="shared" si="3"/>
        <v>19793.886938533171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46706</v>
      </c>
      <c r="D54" s="129">
        <f t="shared" si="1"/>
        <v>3123.9660394344519</v>
      </c>
      <c r="E54" s="140">
        <f>IF(B54&lt;=$F$15,(E$17*(VLOOKUP($H$2,Лист2!$A:$N,12,0)-(B54-1)*VLOOKUP($H$2,Лист2!$A:$N,13,0))),0)</f>
        <v>0</v>
      </c>
      <c r="F54" s="130">
        <f t="shared" si="2"/>
        <v>16669.920899098717</v>
      </c>
      <c r="G54" s="160">
        <f t="shared" si="3"/>
        <v>19793.886938533171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46736</v>
      </c>
      <c r="D55" s="129">
        <f t="shared" si="1"/>
        <v>3293.1808665704848</v>
      </c>
      <c r="E55" s="140">
        <f>IF(B55&lt;=$F$15,(E$17*(VLOOKUP($H$2,Лист2!$A:$N,12,0)-(B55-1)*VLOOKUP($H$2,Лист2!$A:$N,13,0))),0)</f>
        <v>0</v>
      </c>
      <c r="F55" s="130">
        <f t="shared" si="2"/>
        <v>16500.706071962686</v>
      </c>
      <c r="G55" s="160">
        <f t="shared" si="3"/>
        <v>19793.886938533171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46767</v>
      </c>
      <c r="D56" s="129">
        <f t="shared" si="1"/>
        <v>3471.5614968430527</v>
      </c>
      <c r="E56" s="140">
        <f>IF(B56&lt;=$F$15,(E$17*(VLOOKUP($H$2,Лист2!$A:$N,12,0)-(B56-1)*VLOOKUP($H$2,Лист2!$A:$N,13,0))),0)</f>
        <v>0</v>
      </c>
      <c r="F56" s="130">
        <f t="shared" si="2"/>
        <v>16322.325441690116</v>
      </c>
      <c r="G56" s="160">
        <f t="shared" si="3"/>
        <v>19793.886938533171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46798</v>
      </c>
      <c r="D57" s="129">
        <f t="shared" si="1"/>
        <v>3659.6044112553845</v>
      </c>
      <c r="E57" s="140">
        <f>IF(B57&lt;=$F$15,(E$17*(VLOOKUP($H$2,Лист2!$A:$N,12,0)-(B57-1)*VLOOKUP($H$2,Лист2!$A:$N,13,0))),0)</f>
        <v>0</v>
      </c>
      <c r="F57" s="130">
        <f t="shared" si="2"/>
        <v>16134.282527277785</v>
      </c>
      <c r="G57" s="160">
        <f t="shared" si="3"/>
        <v>19793.886938533171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46827</v>
      </c>
      <c r="D58" s="129">
        <f t="shared" si="1"/>
        <v>3857.8329835317177</v>
      </c>
      <c r="E58" s="140">
        <f>IF(B58&lt;=$F$15,(E$17*(VLOOKUP($H$2,Лист2!$A:$N,12,0)-(B58-1)*VLOOKUP($H$2,Лист2!$A:$N,13,0))),0)</f>
        <v>0</v>
      </c>
      <c r="F58" s="130">
        <f t="shared" si="2"/>
        <v>15936.053955001451</v>
      </c>
      <c r="G58" s="160">
        <f t="shared" si="3"/>
        <v>19793.886938533167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46858</v>
      </c>
      <c r="D59" s="129">
        <f t="shared" si="1"/>
        <v>4066.7989368063522</v>
      </c>
      <c r="E59" s="140">
        <f>IF(B59&lt;=$F$15,(E$17*(VLOOKUP($H$2,Лист2!$A:$N,12,0)-(B59-1)*VLOOKUP($H$2,Лист2!$A:$N,13,0))),0)</f>
        <v>0</v>
      </c>
      <c r="F59" s="130">
        <f t="shared" si="2"/>
        <v>15727.088001726817</v>
      </c>
      <c r="G59" s="160">
        <f t="shared" si="3"/>
        <v>19793.886938533171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46888</v>
      </c>
      <c r="D60" s="129">
        <f t="shared" si="1"/>
        <v>4287.083879216696</v>
      </c>
      <c r="E60" s="140">
        <f>IF(B60&lt;=$F$15,(E$17*(VLOOKUP($H$2,Лист2!$A:$N,12,0)-(B60-1)*VLOOKUP($H$2,Лист2!$A:$N,13,0))),0)</f>
        <v>0</v>
      </c>
      <c r="F60" s="130">
        <f t="shared" si="2"/>
        <v>15506.803059316471</v>
      </c>
      <c r="G60" s="160">
        <f t="shared" si="3"/>
        <v>19793.886938533167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46919</v>
      </c>
      <c r="D61" s="129">
        <f t="shared" si="1"/>
        <v>4519.3009226742679</v>
      </c>
      <c r="E61" s="140">
        <f>IF(B61&lt;=$F$15,(E$17*(VLOOKUP($H$2,Лист2!$A:$N,12,0)-(B61-1)*VLOOKUP($H$2,Лист2!$A:$N,13,0))),0)</f>
        <v>0</v>
      </c>
      <c r="F61" s="130">
        <f t="shared" si="2"/>
        <v>15274.5860158589</v>
      </c>
      <c r="G61" s="160">
        <f t="shared" si="3"/>
        <v>19793.886938533167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46949</v>
      </c>
      <c r="D62" s="129">
        <f t="shared" si="1"/>
        <v>4764.0963893191238</v>
      </c>
      <c r="E62" s="140">
        <f>IF(B62&lt;=$F$15,(E$17*(VLOOKUP($H$2,Лист2!$A:$N,12,0)-(B62-1)*VLOOKUP($H$2,Лист2!$A:$N,13,0))),0)</f>
        <v>0</v>
      </c>
      <c r="F62" s="130">
        <f t="shared" si="2"/>
        <v>15029.790549214045</v>
      </c>
      <c r="G62" s="160">
        <f t="shared" si="3"/>
        <v>19793.886938533171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46980</v>
      </c>
      <c r="D63" s="129">
        <f t="shared" si="1"/>
        <v>5022.1516104072425</v>
      </c>
      <c r="E63" s="140">
        <f>IF(B63&lt;=$F$15,(E$17*(VLOOKUP($H$2,Лист2!$A:$N,12,0)-(B63-1)*VLOOKUP($H$2,Лист2!$A:$N,13,0))),0)</f>
        <v>0</v>
      </c>
      <c r="F63" s="130">
        <f t="shared" si="2"/>
        <v>14771.735328125927</v>
      </c>
      <c r="G63" s="160">
        <f t="shared" si="3"/>
        <v>19793.886938533171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47011</v>
      </c>
      <c r="D64" s="129">
        <f t="shared" si="1"/>
        <v>5294.1848226376351</v>
      </c>
      <c r="E64" s="140">
        <f>IF(B64&lt;=$F$15,(E$17*(VLOOKUP($H$2,Лист2!$A:$N,12,0)-(B64-1)*VLOOKUP($H$2,Лист2!$A:$N,13,0))),0)</f>
        <v>0</v>
      </c>
      <c r="F64" s="130">
        <f t="shared" si="2"/>
        <v>14499.702115895536</v>
      </c>
      <c r="G64" s="160">
        <f t="shared" si="3"/>
        <v>19793.886938533171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47041</v>
      </c>
      <c r="D65" s="129">
        <f t="shared" si="1"/>
        <v>5580.9531671971727</v>
      </c>
      <c r="E65" s="130">
        <f>IF(B65&lt;=$F$15,(E$17*(VLOOKUP($H$2,Лист2!$A:$N,12,0)-(B65-1)*VLOOKUP($H$2,Лист2!$A:$N,13,0))),0)</f>
        <v>0</v>
      </c>
      <c r="F65" s="130">
        <f t="shared" si="2"/>
        <v>14212.933771335996</v>
      </c>
      <c r="G65" s="160">
        <f t="shared" si="3"/>
        <v>19793.886938533171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47072</v>
      </c>
      <c r="D66" s="129">
        <f t="shared" si="1"/>
        <v>5883.254797087021</v>
      </c>
      <c r="E66" s="130">
        <f>IF(B66&lt;=$F$15,(E$17*(VLOOKUP($H$2,Лист2!$A:$N,12,0)-(B66-1)*VLOOKUP($H$2,Лист2!$A:$N,13,0))),0)</f>
        <v>0</v>
      </c>
      <c r="F66" s="130">
        <f t="shared" si="2"/>
        <v>13910.632141446147</v>
      </c>
      <c r="G66" s="160">
        <f t="shared" si="3"/>
        <v>19793.886938533167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47102</v>
      </c>
      <c r="D67" s="129">
        <f t="shared" si="1"/>
        <v>6201.9310985959019</v>
      </c>
      <c r="E67" s="130">
        <f>IF(B67&lt;=$F$15,(E$17*(VLOOKUP($H$2,Лист2!$A:$N,12,0)-(B67-1)*VLOOKUP($H$2,Лист2!$A:$N,13,0))),0)</f>
        <v>0</v>
      </c>
      <c r="F67" s="130">
        <f t="shared" si="2"/>
        <v>13591.955839937267</v>
      </c>
      <c r="G67" s="160">
        <f t="shared" si="3"/>
        <v>19793.886938533171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47133</v>
      </c>
      <c r="D68" s="129">
        <f t="shared" si="1"/>
        <v>6537.8690331031803</v>
      </c>
      <c r="E68" s="130">
        <f>IF(B68&lt;=$F$15,(E$17*(VLOOKUP($H$2,Лист2!$A:$N,12,0)-(B68-1)*VLOOKUP($H$2,Лист2!$A:$N,13,0))),0)</f>
        <v>0</v>
      </c>
      <c r="F68" s="130">
        <f t="shared" si="2"/>
        <v>13256.01790542999</v>
      </c>
      <c r="G68" s="160">
        <f t="shared" si="3"/>
        <v>19793.886938533171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47164</v>
      </c>
      <c r="D69" s="129">
        <f t="shared" si="1"/>
        <v>6892.003605729602</v>
      </c>
      <c r="E69" s="130">
        <f>IF(B69&lt;=$F$15,(E$17*(VLOOKUP($H$2,Лист2!$A:$N,12,0)-(B69-1)*VLOOKUP($H$2,Лист2!$A:$N,13,0))),0)</f>
        <v>0</v>
      </c>
      <c r="F69" s="130">
        <f t="shared" si="2"/>
        <v>12901.883332803567</v>
      </c>
      <c r="G69" s="160">
        <f t="shared" si="3"/>
        <v>19793.886938533171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47192</v>
      </c>
      <c r="D70" s="129">
        <f t="shared" si="1"/>
        <v>7265.3204677066215</v>
      </c>
      <c r="E70" s="130">
        <f>IF(B70&lt;=$F$15,(E$17*(VLOOKUP($H$2,Лист2!$A:$N,12,0)-(B70-1)*VLOOKUP($H$2,Лист2!$A:$N,13,0))),0)</f>
        <v>0</v>
      </c>
      <c r="F70" s="130">
        <f t="shared" si="2"/>
        <v>12528.566470826547</v>
      </c>
      <c r="G70" s="160">
        <f t="shared" si="3"/>
        <v>19793.886938533167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47223</v>
      </c>
      <c r="D71" s="129">
        <f t="shared" si="1"/>
        <v>7658.8586597073972</v>
      </c>
      <c r="E71" s="130">
        <f>IF(B71&lt;=$F$15,(E$17*(VLOOKUP($H$2,Лист2!$A:$N,12,0)-(B71-1)*VLOOKUP($H$2,Лист2!$A:$N,13,0))),0)</f>
        <v>0</v>
      </c>
      <c r="F71" s="130">
        <f t="shared" si="2"/>
        <v>12135.028278825772</v>
      </c>
      <c r="G71" s="160">
        <f t="shared" si="3"/>
        <v>19793.886938533171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47253</v>
      </c>
      <c r="D72" s="129">
        <f t="shared" si="1"/>
        <v>8073.7135037748803</v>
      </c>
      <c r="E72" s="130">
        <f>IF(B72&lt;=$F$15,(E$17*(VLOOKUP($H$2,Лист2!$A:$N,12,0)-(B72-1)*VLOOKUP($H$2,Лист2!$A:$N,13,0))),0)</f>
        <v>0</v>
      </c>
      <c r="F72" s="130">
        <f t="shared" si="2"/>
        <v>11720.17343475829</v>
      </c>
      <c r="G72" s="160">
        <f t="shared" si="3"/>
        <v>19793.886938533171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47284</v>
      </c>
      <c r="D73" s="129">
        <f t="shared" si="1"/>
        <v>8511.0396518960206</v>
      </c>
      <c r="E73" s="130">
        <f>IF(B73&lt;=$F$15,(E$17*(VLOOKUP($H$2,Лист2!$A:$N,12,0)-(B73-1)*VLOOKUP($H$2,Лист2!$A:$N,13,0))),0)</f>
        <v>0</v>
      </c>
      <c r="F73" s="130">
        <f t="shared" si="2"/>
        <v>11282.847286637148</v>
      </c>
      <c r="G73" s="160">
        <f t="shared" si="3"/>
        <v>19793.886938533171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47314</v>
      </c>
      <c r="D74" s="129">
        <f t="shared" si="1"/>
        <v>8972.0542997070552</v>
      </c>
      <c r="E74" s="130">
        <f>IF(B74&lt;=$F$15,(E$17*(VLOOKUP($H$2,Лист2!$A:$N,12,0)-(B74-1)*VLOOKUP($H$2,Лист2!$A:$N,13,0))),0)</f>
        <v>0</v>
      </c>
      <c r="F74" s="130">
        <f t="shared" si="2"/>
        <v>10821.832638826114</v>
      </c>
      <c r="G74" s="160">
        <f t="shared" si="3"/>
        <v>19793.886938533171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47345</v>
      </c>
      <c r="D75" s="129">
        <f t="shared" si="1"/>
        <v>9458.0405742745206</v>
      </c>
      <c r="E75" s="130">
        <f>IF(B75&lt;=$F$15,(E$17*(VLOOKUP($H$2,Лист2!$A:$N,12,0)-(B75-1)*VLOOKUP($H$2,Лист2!$A:$N,13,0))),0)</f>
        <v>0</v>
      </c>
      <c r="F75" s="130">
        <f t="shared" si="2"/>
        <v>10335.846364258652</v>
      </c>
      <c r="G75" s="160">
        <f t="shared" si="3"/>
        <v>19793.886938533171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47376</v>
      </c>
      <c r="D76" s="129">
        <f t="shared" si="1"/>
        <v>9970.3511053810562</v>
      </c>
      <c r="E76" s="130">
        <f>IF(B76&lt;=$F$15,(E$17*(VLOOKUP($H$2,Лист2!$A:$N,12,0)-(B76-1)*VLOOKUP($H$2,Лист2!$A:$N,13,0))),0)</f>
        <v>0</v>
      </c>
      <c r="F76" s="130">
        <f t="shared" si="2"/>
        <v>9823.5358331521129</v>
      </c>
      <c r="G76" s="160">
        <f t="shared" si="3"/>
        <v>19793.886938533171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47406</v>
      </c>
      <c r="D77" s="129">
        <f t="shared" si="1"/>
        <v>10510.411790255863</v>
      </c>
      <c r="E77" s="130">
        <f>IF(B77&lt;=$F$15,(E$17*(VLOOKUP($H$2,Лист2!$A:$N,12,0)-(B77-1)*VLOOKUP($H$2,Лист2!$A:$N,13,0))),0)</f>
        <v>0</v>
      </c>
      <c r="F77" s="130">
        <f t="shared" si="2"/>
        <v>9283.4751482773063</v>
      </c>
      <c r="G77" s="160">
        <f t="shared" si="3"/>
        <v>19793.886938533171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47437</v>
      </c>
      <c r="D78" s="129">
        <f t="shared" si="1"/>
        <v>11079.725762228058</v>
      </c>
      <c r="E78" s="130">
        <f>IF(B78&lt;=$F$15,(E$17*(VLOOKUP($H$2,Лист2!$A:$N,12,0)-(B78-1)*VLOOKUP($H$2,Лист2!$A:$N,13,0))),0)</f>
        <v>0</v>
      </c>
      <c r="F78" s="130">
        <f t="shared" si="2"/>
        <v>8714.1611763051133</v>
      </c>
      <c r="G78" s="160">
        <f t="shared" si="3"/>
        <v>19793.886938533171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47467</v>
      </c>
      <c r="D79" s="129">
        <f t="shared" si="1"/>
        <v>11679.877574348742</v>
      </c>
      <c r="E79" s="130">
        <f>IF(B79&lt;=$F$15,(E$17*(VLOOKUP($H$2,Лист2!$A:$N,12,0)-(B79-1)*VLOOKUP($H$2,Лист2!$A:$N,13,0))),0)</f>
        <v>0</v>
      </c>
      <c r="F79" s="130">
        <f t="shared" si="2"/>
        <v>8114.0093641844251</v>
      </c>
      <c r="G79" s="160">
        <f t="shared" si="3"/>
        <v>19793.886938533167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47498</v>
      </c>
      <c r="D80" s="129">
        <f t="shared" si="1"/>
        <v>12312.537609625966</v>
      </c>
      <c r="E80" s="130">
        <f>IF(B80&lt;=$F$15,(E$17*(VLOOKUP($H$2,Лист2!$A:$N,12,0)-(B80-1)*VLOOKUP($H$2,Лист2!$A:$N,13,0))),0)</f>
        <v>0</v>
      </c>
      <c r="F80" s="130">
        <f t="shared" si="2"/>
        <v>7481.3493289072039</v>
      </c>
      <c r="G80" s="160">
        <f t="shared" si="3"/>
        <v>19793.886938533171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47529</v>
      </c>
      <c r="D81" s="129">
        <f t="shared" si="1"/>
        <v>12979.466730147371</v>
      </c>
      <c r="E81" s="130">
        <f>IF(B81&lt;=$F$15,(E$17*(VLOOKUP($H$2,Лист2!$A:$N,12,0)-(B81-1)*VLOOKUP($H$2,Лист2!$A:$N,13,0))),0)</f>
        <v>0</v>
      </c>
      <c r="F81" s="130">
        <f t="shared" si="2"/>
        <v>6814.4202083857963</v>
      </c>
      <c r="G81" s="160">
        <f t="shared" si="3"/>
        <v>19793.886938533167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47557</v>
      </c>
      <c r="D82" s="129">
        <f t="shared" si="1"/>
        <v>13682.521178030354</v>
      </c>
      <c r="E82" s="130">
        <f>IF(B82&lt;=$F$15,(E$17*(VLOOKUP($H$2,Лист2!$A:$N,12,0)-(B82-1)*VLOOKUP($H$2,Лист2!$A:$N,13,0))),0)</f>
        <v>0</v>
      </c>
      <c r="F82" s="130">
        <f t="shared" si="2"/>
        <v>6111.3657605028147</v>
      </c>
      <c r="G82" s="160">
        <f t="shared" si="3"/>
        <v>19793.886938533171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47588</v>
      </c>
      <c r="D83" s="129">
        <f t="shared" si="1"/>
        <v>14423.65774184033</v>
      </c>
      <c r="E83" s="130">
        <f>IF(B83&lt;=$F$15,(E$17*(VLOOKUP($H$2,Лист2!$A:$N,12,0)-(B83-1)*VLOOKUP($H$2,Лист2!$A:$N,13,0))),0)</f>
        <v>0</v>
      </c>
      <c r="F83" s="130">
        <f t="shared" si="2"/>
        <v>5370.229196692836</v>
      </c>
      <c r="G83" s="160">
        <f t="shared" si="3"/>
        <v>19793.886938533167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47618</v>
      </c>
      <c r="D84" s="129">
        <f t="shared" si="1"/>
        <v>15204.939202856684</v>
      </c>
      <c r="E84" s="130">
        <f>IF(B84&lt;=$F$15,(E$17*(VLOOKUP($H$2,Лист2!$A:$N,12,0)-(B84-1)*VLOOKUP($H$2,Лист2!$A:$N,13,0))),0)</f>
        <v>0</v>
      </c>
      <c r="F84" s="130">
        <f t="shared" si="2"/>
        <v>4588.9477356764846</v>
      </c>
      <c r="G84" s="160">
        <f t="shared" si="3"/>
        <v>19793.886938533167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47649</v>
      </c>
      <c r="D85" s="129">
        <f t="shared" si="1"/>
        <v>16028.540076344754</v>
      </c>
      <c r="E85" s="130">
        <f>IF(B85&lt;=$F$15,(E$17*(VLOOKUP($H$2,Лист2!$A:$N,12,0)-(B85-1)*VLOOKUP($H$2,Лист2!$A:$N,13,0))),0)</f>
        <v>0</v>
      </c>
      <c r="F85" s="130">
        <f t="shared" si="2"/>
        <v>3765.3468621884149</v>
      </c>
      <c r="G85" s="160">
        <f t="shared" si="3"/>
        <v>19793.886938533171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47679</v>
      </c>
      <c r="D86" s="129">
        <f t="shared" si="1"/>
        <v>16896.75266381343</v>
      </c>
      <c r="E86" s="130">
        <f>IF(B86&lt;=$F$15,(E$17*(VLOOKUP($H$2,Лист2!$A:$N,12,0)-(B86-1)*VLOOKUP($H$2,Лист2!$A:$N,13,0))),0)</f>
        <v>0</v>
      </c>
      <c r="F86" s="130">
        <f t="shared" si="2"/>
        <v>2897.1342747197414</v>
      </c>
      <c r="G86" s="160">
        <f t="shared" si="3"/>
        <v>19793.886938533171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47710</v>
      </c>
      <c r="D87" s="129">
        <f t="shared" si="1"/>
        <v>17811.993433103322</v>
      </c>
      <c r="E87" s="130">
        <f>IF(B87&lt;=$F$15,(E$17*(VLOOKUP($H$2,Лист2!$A:$N,12,0)-(B87-1)*VLOOKUP($H$2,Лист2!$A:$N,13,0))),0)</f>
        <v>0</v>
      </c>
      <c r="F87" s="130">
        <f t="shared" si="2"/>
        <v>1981.893505429847</v>
      </c>
      <c r="G87" s="160">
        <f t="shared" si="3"/>
        <v>19793.886938533167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47741</v>
      </c>
      <c r="D88" s="129">
        <f t="shared" si="1"/>
        <v>18776.809744063085</v>
      </c>
      <c r="E88" s="131">
        <f>IF(B88&lt;=$F$15,(E$17*(VLOOKUP($H$2,Лист2!$A:$N,12,0)-(B88-1)*VLOOKUP($H$2,Лист2!$A:$N,13,0))),0)</f>
        <v>0</v>
      </c>
      <c r="F88" s="130">
        <f t="shared" si="2"/>
        <v>1017.0771944700836</v>
      </c>
      <c r="G88" s="173">
        <f t="shared" si="3"/>
        <v>19793.886938533167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349999.99999999994</v>
      </c>
      <c r="E89" s="133">
        <f>SUM(E29:E88)</f>
        <v>0</v>
      </c>
      <c r="F89" s="133">
        <f>SUM(F29:F88)</f>
        <v>837633.21631199028</v>
      </c>
      <c r="G89" s="170">
        <f>SUM(G29:H88)</f>
        <v>1187633.2163119907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jHHG0nen3GA4Xx/1rmVvaD2jVRxEseCItRHygIHipgnb/WKtkqwks4KZ/4EFWCUcwtUEl1cH9WesmdhTX+zbIg==" saltValue="E2tYi/OF4bz6S/baQEQ/NA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E19" sqref="E19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500000</v>
      </c>
      <c r="C4" s="117">
        <v>60</v>
      </c>
      <c r="D4" s="118">
        <v>0.65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28276.98134076166</v>
      </c>
      <c r="L4" s="120">
        <v>0</v>
      </c>
      <c r="M4" s="121">
        <v>0</v>
      </c>
      <c r="N4" s="117">
        <v>300001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0.65</v>
      </c>
      <c r="E5" s="118">
        <v>0</v>
      </c>
      <c r="F5" s="118">
        <v>0</v>
      </c>
      <c r="G5" s="117" t="str">
        <f t="shared" ref="G5:G6" si="3">I$2&amp;" "&amp;B5&amp;" "&amp;H$2</f>
        <v>max. 500000 грн.</v>
      </c>
      <c r="H5" s="117">
        <f t="shared" ref="H5:H6" si="4">B5+B5*E5</f>
        <v>500000</v>
      </c>
      <c r="I5" s="117"/>
      <c r="J5" s="117">
        <v>5</v>
      </c>
      <c r="K5" s="119">
        <f t="shared" ref="K5:K6" si="5">D5/12/(1-1/POWER(1+D5/12,C5))*H5+H5*F5</f>
        <v>31852.073354451943</v>
      </c>
      <c r="L5" s="120">
        <v>0</v>
      </c>
      <c r="M5" s="121">
        <v>0</v>
      </c>
      <c r="N5" s="117">
        <v>300001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0.65</v>
      </c>
      <c r="E6" s="118">
        <v>0</v>
      </c>
      <c r="F6" s="118">
        <v>0</v>
      </c>
      <c r="G6" s="117" t="str">
        <f t="shared" si="3"/>
        <v>max. 500000 грн.</v>
      </c>
      <c r="H6" s="117">
        <f t="shared" si="4"/>
        <v>500000</v>
      </c>
      <c r="I6" s="117"/>
      <c r="J6" s="117">
        <v>6</v>
      </c>
      <c r="K6" s="119">
        <f t="shared" si="5"/>
        <v>37718.070494337859</v>
      </c>
      <c r="L6" s="120">
        <v>0</v>
      </c>
      <c r="M6" s="121">
        <v>0</v>
      </c>
      <c r="N6" s="117">
        <v>300001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0.65</v>
      </c>
      <c r="E7" s="118">
        <v>0</v>
      </c>
      <c r="F7" s="118">
        <v>0</v>
      </c>
      <c r="G7" s="117" t="str">
        <f t="shared" ref="G7" si="6">I$2&amp;" "&amp;B7&amp;" "&amp;H$2</f>
        <v>max. 500000 грн.</v>
      </c>
      <c r="H7" s="117">
        <f t="shared" ref="H7" si="7">B7+B7*E7</f>
        <v>500000</v>
      </c>
      <c r="I7" s="117"/>
      <c r="J7" s="117">
        <v>7</v>
      </c>
      <c r="K7" s="119">
        <f t="shared" ref="K7" si="8">D7/12/(1-1/POWER(1+D7/12,C7))*H7+H7*F7</f>
        <v>57746.095008191529</v>
      </c>
      <c r="L7" s="120">
        <v>0</v>
      </c>
      <c r="M7" s="121">
        <v>0</v>
      </c>
      <c r="N7" s="117">
        <v>300001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Big Cash</vt:lpstr>
      <vt:lpstr>Лист2</vt:lpstr>
      <vt:lpstr>Назви</vt:lpstr>
      <vt:lpstr>'Big Cash'!Область_друку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2025-09-15T08:49:51Z</dcterms:modified>
</cp:coreProperties>
</file>