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Мобільний\"/>
    </mc:Choice>
  </mc:AlternateContent>
  <xr:revisionPtr revIDLastSave="0" documentId="13_ncr:1_{F657D814-6F62-48D1-80D3-57D6B12692FE}" xr6:coauthVersionLast="47" xr6:coauthVersionMax="47" xr10:uidLastSave="{00000000-0000-0000-0000-000000000000}"/>
  <workbookProtection workbookAlgorithmName="SHA-512" workbookHashValue="ghlvP26HgqsjXqMUAYVyFHffnizAotKw8lD0/IZ0ppBA/UX9mk9/Tm06KWN7oYQRwMzV0FVNPOgIXl78/mPl0w==" workbookSaltValue="PI0fVglzIZiDIOmC2D7byQ==" workbookSpinCount="100000" lockStructure="1"/>
  <bookViews>
    <workbookView xWindow="-120" yWindow="-120" windowWidth="29040" windowHeight="15990" tabRatio="863" firstSheet="6" activeTab="6" xr2:uid="{00000000-000D-0000-FFFF-FFFF00000000}"/>
  </bookViews>
  <sheets>
    <sheet name="Головна" sheetId="171" state="hidden" r:id="rId1"/>
    <sheet name="Простий" sheetId="175" state="hidden" r:id="rId2"/>
    <sheet name="BIG CASH" sheetId="164" state="hidden" r:id="rId3"/>
    <sheet name="Пенсійний" sheetId="173" state="hidden" r:id="rId4"/>
    <sheet name="Від 1 000 до 29 999" sheetId="186" state="hidden" r:id="rId5"/>
    <sheet name="Вигідний_зі знижкою-10%" sheetId="187" state="hidden" r:id="rId6"/>
    <sheet name="Мобільний СК" sheetId="188" r:id="rId7"/>
    <sheet name="Від 200 000 до 500 000" sheetId="189" state="hidden" r:id="rId8"/>
    <sheet name="Лист2" sheetId="165" state="hidden" r:id="rId9"/>
    <sheet name="Назви" sheetId="161" state="hidden" r:id="rId10"/>
    <sheet name="Лист3" sheetId="191" state="hidden" r:id="rId11"/>
  </sheets>
  <definedNames>
    <definedName name="_xlnm._FilterDatabase" localSheetId="5" hidden="1">'Вигідний_зі знижкою-10%'!$A$29:$G$91</definedName>
    <definedName name="_xlnm._FilterDatabase" localSheetId="4" hidden="1">'Від 1 000 до 29 999'!$A$27:$H$89</definedName>
    <definedName name="_xlnm._FilterDatabase" localSheetId="7" hidden="1">'Від 200 000 до 500 000'!$A$27:$H$89</definedName>
    <definedName name="_xlnm._FilterDatabase" localSheetId="6" hidden="1">'Мобільний СК'!$A$27:$H$89</definedName>
    <definedName name="_xlnm.Print_Area" localSheetId="2">'BIG CASH'!$A$1:$I$95</definedName>
    <definedName name="_xlnm.Print_Area" localSheetId="5">'Вигідний_зі знижкою-10%'!$A$1:$J$94</definedName>
    <definedName name="_xlnm.Print_Area" localSheetId="4">'Від 1 000 до 29 999'!$A$1:$L$92</definedName>
    <definedName name="_xlnm.Print_Area" localSheetId="7">'Від 200 000 до 500 000'!$A$1:$J$92</definedName>
    <definedName name="_xlnm.Print_Area" localSheetId="0">Головна!$B$4:$Q$22</definedName>
    <definedName name="_xlnm.Print_Area" localSheetId="6">'Мобільний СК'!$A$1:$I$92</definedName>
    <definedName name="_xlnm.Print_Area" localSheetId="3">Пенсійний!$A$1:$I$95</definedName>
    <definedName name="_xlnm.Print_Area" localSheetId="1">Простий!$A$1:$I$95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8" l="1"/>
  <c r="K10" i="188" l="1"/>
  <c r="K11" i="188"/>
  <c r="K12" i="188"/>
  <c r="K9" i="188"/>
  <c r="H4" i="165"/>
  <c r="K4" i="165" s="1"/>
  <c r="G4" i="165"/>
  <c r="F15" i="188" l="1"/>
  <c r="F13" i="188"/>
  <c r="F11" i="188"/>
  <c r="F9" i="188"/>
  <c r="F2" i="188"/>
  <c r="E2" i="188"/>
  <c r="H7" i="165"/>
  <c r="K7" i="165" s="1"/>
  <c r="G7" i="165"/>
  <c r="H6" i="165"/>
  <c r="K6" i="165" s="1"/>
  <c r="G6" i="165"/>
  <c r="H3" i="188" s="1"/>
  <c r="H5" i="165"/>
  <c r="K5" i="165" s="1"/>
  <c r="G5" i="165"/>
  <c r="H3" i="187" l="1"/>
  <c r="F15" i="187"/>
  <c r="F13" i="187"/>
  <c r="F11" i="187"/>
  <c r="B11" i="187"/>
  <c r="E11" i="187"/>
  <c r="D11" i="187"/>
  <c r="C11" i="187"/>
  <c r="F11" i="189" l="1"/>
  <c r="F15" i="189"/>
  <c r="K44" i="189" l="1"/>
  <c r="K43" i="189"/>
  <c r="K42" i="189"/>
  <c r="K41" i="189"/>
  <c r="K40" i="189"/>
  <c r="K39" i="189"/>
  <c r="K38" i="189"/>
  <c r="K37" i="189"/>
  <c r="K36" i="189"/>
  <c r="K35" i="189"/>
  <c r="K34" i="189"/>
  <c r="K33" i="189"/>
  <c r="K32" i="189"/>
  <c r="K31" i="189"/>
  <c r="K30" i="189"/>
  <c r="K29" i="189"/>
  <c r="K28" i="189"/>
  <c r="C28" i="189"/>
  <c r="C29" i="189" s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K27" i="189"/>
  <c r="G27" i="189"/>
  <c r="F27" i="189"/>
  <c r="E27" i="189"/>
  <c r="D27" i="189"/>
  <c r="C27" i="189"/>
  <c r="K26" i="189"/>
  <c r="B26" i="189"/>
  <c r="K24" i="189"/>
  <c r="B24" i="189"/>
  <c r="K23" i="189"/>
  <c r="K22" i="189"/>
  <c r="E22" i="189"/>
  <c r="D22" i="189"/>
  <c r="C22" i="189"/>
  <c r="B22" i="189"/>
  <c r="K21" i="189"/>
  <c r="K20" i="189"/>
  <c r="E20" i="189"/>
  <c r="D20" i="189"/>
  <c r="C20" i="189"/>
  <c r="B20" i="189"/>
  <c r="K19" i="189"/>
  <c r="K18" i="189"/>
  <c r="E18" i="189"/>
  <c r="D18" i="189"/>
  <c r="C18" i="189"/>
  <c r="B18" i="189"/>
  <c r="K17" i="189"/>
  <c r="K16" i="189"/>
  <c r="K15" i="189"/>
  <c r="E15" i="189"/>
  <c r="D15" i="189"/>
  <c r="C15" i="189"/>
  <c r="B15" i="189"/>
  <c r="K14" i="189"/>
  <c r="K13" i="189"/>
  <c r="F13" i="189"/>
  <c r="E13" i="189"/>
  <c r="D13" i="189"/>
  <c r="C13" i="189"/>
  <c r="B13" i="189"/>
  <c r="K12" i="189"/>
  <c r="K11" i="189"/>
  <c r="E16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8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G27" i="188"/>
  <c r="F27" i="188"/>
  <c r="E27" i="188"/>
  <c r="D27" i="188"/>
  <c r="C27" i="188"/>
  <c r="B26" i="188"/>
  <c r="B24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E16" i="188"/>
  <c r="E15" i="188"/>
  <c r="D15" i="188"/>
  <c r="C15" i="188"/>
  <c r="B15" i="188"/>
  <c r="E13" i="188"/>
  <c r="D13" i="188"/>
  <c r="C13" i="188"/>
  <c r="B13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C30" i="187"/>
  <c r="J29" i="187"/>
  <c r="F29" i="187"/>
  <c r="E29" i="187"/>
  <c r="D29" i="187"/>
  <c r="C29" i="187"/>
  <c r="B28" i="187"/>
  <c r="B26" i="187"/>
  <c r="E24" i="187"/>
  <c r="D24" i="187"/>
  <c r="C24" i="187"/>
  <c r="B24" i="187"/>
  <c r="K23" i="187"/>
  <c r="K22" i="187"/>
  <c r="E22" i="187"/>
  <c r="D22" i="187"/>
  <c r="C22" i="187"/>
  <c r="B22" i="187"/>
  <c r="K21" i="187"/>
  <c r="K20" i="187"/>
  <c r="E20" i="187"/>
  <c r="D20" i="187"/>
  <c r="C20" i="187"/>
  <c r="B20" i="187"/>
  <c r="K19" i="187"/>
  <c r="K18" i="187"/>
  <c r="K17" i="187"/>
  <c r="F17" i="187"/>
  <c r="E17" i="187"/>
  <c r="D17" i="187"/>
  <c r="C17" i="187"/>
  <c r="B17" i="187"/>
  <c r="K16" i="187"/>
  <c r="K15" i="187"/>
  <c r="E15" i="187"/>
  <c r="D15" i="187"/>
  <c r="C15" i="187"/>
  <c r="B15" i="187"/>
  <c r="K14" i="187"/>
  <c r="K13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2" i="187"/>
  <c r="E18" i="187" l="1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9"/>
  <c r="F3" i="189" s="1"/>
  <c r="E67" i="189"/>
  <c r="E71" i="189"/>
  <c r="E75" i="189"/>
  <c r="E79" i="189"/>
  <c r="E83" i="189"/>
  <c r="E87" i="189"/>
  <c r="E65" i="189"/>
  <c r="E69" i="189"/>
  <c r="E73" i="189"/>
  <c r="E77" i="189"/>
  <c r="E81" i="189"/>
  <c r="E85" i="189"/>
  <c r="E66" i="189"/>
  <c r="E70" i="189"/>
  <c r="E74" i="189"/>
  <c r="E78" i="189"/>
  <c r="E82" i="189"/>
  <c r="E86" i="189"/>
  <c r="E3" i="187"/>
  <c r="E19" i="187" l="1"/>
  <c r="D62" i="187" s="1"/>
  <c r="E17" i="188"/>
  <c r="G28" i="188"/>
  <c r="F3" i="187"/>
  <c r="E17" i="189"/>
  <c r="G28" i="189"/>
  <c r="E84" i="189"/>
  <c r="E76" i="189"/>
  <c r="E68" i="189"/>
  <c r="E88" i="189"/>
  <c r="E80" i="189"/>
  <c r="E72" i="189"/>
  <c r="F30" i="187"/>
  <c r="D78" i="187" l="1"/>
  <c r="D64" i="187"/>
  <c r="D80" i="187"/>
  <c r="D69" i="187"/>
  <c r="D85" i="187"/>
  <c r="D55" i="187"/>
  <c r="D71" i="187"/>
  <c r="D83" i="187"/>
  <c r="F20" i="187"/>
  <c r="D32" i="187"/>
  <c r="D53" i="187"/>
  <c r="D31" i="187"/>
  <c r="F7" i="187"/>
  <c r="D63" i="187"/>
  <c r="D52" i="187"/>
  <c r="D68" i="187"/>
  <c r="D84" i="187"/>
  <c r="D79" i="187"/>
  <c r="D57" i="187"/>
  <c r="D73" i="187"/>
  <c r="D89" i="187"/>
  <c r="D50" i="187"/>
  <c r="D66" i="187"/>
  <c r="D82" i="187"/>
  <c r="D75" i="187"/>
  <c r="D56" i="187"/>
  <c r="D72" i="187"/>
  <c r="D88" i="187"/>
  <c r="D33" i="187"/>
  <c r="D61" i="187"/>
  <c r="D77" i="187"/>
  <c r="D51" i="187"/>
  <c r="D54" i="187"/>
  <c r="D70" i="187"/>
  <c r="D86" i="187"/>
  <c r="D87" i="187"/>
  <c r="D60" i="187"/>
  <c r="D76" i="187"/>
  <c r="D59" i="187"/>
  <c r="D49" i="187"/>
  <c r="D65" i="187"/>
  <c r="D81" i="187"/>
  <c r="D67" i="187"/>
  <c r="D58" i="187"/>
  <c r="D74" i="187"/>
  <c r="D90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18" i="189"/>
  <c r="F29" i="189"/>
  <c r="E89" i="188" l="1"/>
  <c r="D88" i="189" l="1"/>
  <c r="K44" i="186" l="1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C28" i="186"/>
  <c r="C29" i="186" s="1"/>
  <c r="C30" i="186" s="1"/>
  <c r="C31" i="186" s="1"/>
  <c r="C32" i="186" s="1"/>
  <c r="C33" i="186" s="1"/>
  <c r="C34" i="186" s="1"/>
  <c r="C35" i="186" s="1"/>
  <c r="C36" i="186" s="1"/>
  <c r="C37" i="186" s="1"/>
  <c r="C38" i="186" s="1"/>
  <c r="C39" i="186" s="1"/>
  <c r="C40" i="186" s="1"/>
  <c r="C41" i="186" s="1"/>
  <c r="C42" i="186" s="1"/>
  <c r="C43" i="186" s="1"/>
  <c r="C44" i="186" s="1"/>
  <c r="C45" i="186" s="1"/>
  <c r="C46" i="186" s="1"/>
  <c r="C47" i="186" s="1"/>
  <c r="C48" i="186" s="1"/>
  <c r="C49" i="186" s="1"/>
  <c r="C50" i="186" s="1"/>
  <c r="C51" i="186" s="1"/>
  <c r="C52" i="186" s="1"/>
  <c r="C53" i="186" s="1"/>
  <c r="C54" i="186" s="1"/>
  <c r="C55" i="186" s="1"/>
  <c r="C56" i="186" s="1"/>
  <c r="C57" i="186" s="1"/>
  <c r="C58" i="186" s="1"/>
  <c r="C59" i="186" s="1"/>
  <c r="C60" i="186" s="1"/>
  <c r="C61" i="186" s="1"/>
  <c r="C62" i="186" s="1"/>
  <c r="C63" i="186" s="1"/>
  <c r="C64" i="186" s="1"/>
  <c r="C65" i="186" s="1"/>
  <c r="C66" i="186" s="1"/>
  <c r="C67" i="186" s="1"/>
  <c r="C68" i="186" s="1"/>
  <c r="C69" i="186" s="1"/>
  <c r="C70" i="186" s="1"/>
  <c r="C71" i="186" s="1"/>
  <c r="C72" i="186" s="1"/>
  <c r="C73" i="186" s="1"/>
  <c r="C74" i="186" s="1"/>
  <c r="C75" i="186" s="1"/>
  <c r="C76" i="186" s="1"/>
  <c r="C77" i="186" s="1"/>
  <c r="C78" i="186" s="1"/>
  <c r="C79" i="186" s="1"/>
  <c r="C80" i="186" s="1"/>
  <c r="C81" i="186" s="1"/>
  <c r="C82" i="186" s="1"/>
  <c r="C83" i="186" s="1"/>
  <c r="C84" i="186" s="1"/>
  <c r="C85" i="186" s="1"/>
  <c r="C86" i="186" s="1"/>
  <c r="C87" i="186" s="1"/>
  <c r="C88" i="186" s="1"/>
  <c r="K27" i="186"/>
  <c r="G27" i="186"/>
  <c r="F27" i="186"/>
  <c r="E27" i="186"/>
  <c r="D27" i="186"/>
  <c r="C27" i="186"/>
  <c r="K26" i="186"/>
  <c r="B26" i="186"/>
  <c r="K24" i="186"/>
  <c r="B24" i="186"/>
  <c r="K23" i="186"/>
  <c r="K22" i="186"/>
  <c r="E22" i="186"/>
  <c r="D22" i="186"/>
  <c r="C22" i="186"/>
  <c r="B22" i="186"/>
  <c r="K21" i="186"/>
  <c r="K20" i="186"/>
  <c r="E20" i="186"/>
  <c r="D20" i="186"/>
  <c r="C20" i="186"/>
  <c r="B20" i="186"/>
  <c r="K19" i="186"/>
  <c r="K18" i="186"/>
  <c r="E18" i="186"/>
  <c r="D18" i="186"/>
  <c r="C18" i="186"/>
  <c r="B18" i="186"/>
  <c r="K17" i="186"/>
  <c r="K16" i="186"/>
  <c r="K15" i="186"/>
  <c r="F15" i="186"/>
  <c r="E15" i="186"/>
  <c r="D15" i="186"/>
  <c r="C15" i="186"/>
  <c r="B15" i="186"/>
  <c r="K14" i="186"/>
  <c r="K13" i="186"/>
  <c r="F13" i="186"/>
  <c r="E13" i="186"/>
  <c r="D13" i="186"/>
  <c r="C13" i="186"/>
  <c r="B13" i="186"/>
  <c r="K12" i="186"/>
  <c r="K11" i="186"/>
  <c r="F11" i="186"/>
  <c r="E16" i="186" s="1"/>
  <c r="E11" i="186"/>
  <c r="D11" i="186"/>
  <c r="C11" i="186"/>
  <c r="B11" i="186"/>
  <c r="F9" i="186"/>
  <c r="E9" i="186"/>
  <c r="D9" i="186"/>
  <c r="C9" i="186"/>
  <c r="B9" i="186"/>
  <c r="G3" i="186"/>
  <c r="G2" i="186"/>
  <c r="F2" i="186"/>
  <c r="E2" i="186"/>
  <c r="E3" i="186" l="1"/>
  <c r="G28" i="186" s="1"/>
  <c r="F3" i="186" l="1"/>
  <c r="E17" i="186"/>
  <c r="E56" i="186"/>
  <c r="E80" i="186"/>
  <c r="E88" i="186"/>
  <c r="E64" i="186"/>
  <c r="E48" i="186"/>
  <c r="E43" i="186"/>
  <c r="E72" i="186"/>
  <c r="E44" i="186"/>
  <c r="E78" i="186"/>
  <c r="E62" i="186"/>
  <c r="E46" i="186"/>
  <c r="E73" i="186"/>
  <c r="E57" i="186"/>
  <c r="E41" i="186"/>
  <c r="E75" i="186"/>
  <c r="E59" i="186"/>
  <c r="E42" i="186"/>
  <c r="E84" i="186"/>
  <c r="E76" i="186"/>
  <c r="E68" i="186"/>
  <c r="E60" i="186"/>
  <c r="E52" i="186"/>
  <c r="E86" i="186"/>
  <c r="E70" i="186"/>
  <c r="E54" i="186"/>
  <c r="E81" i="186"/>
  <c r="E65" i="186"/>
  <c r="E49" i="186"/>
  <c r="E83" i="186"/>
  <c r="E67" i="186"/>
  <c r="E51" i="186"/>
  <c r="E82" i="186"/>
  <c r="E74" i="186"/>
  <c r="E66" i="186"/>
  <c r="E58" i="186"/>
  <c r="E50" i="186"/>
  <c r="E85" i="186"/>
  <c r="E77" i="186"/>
  <c r="E69" i="186"/>
  <c r="E61" i="186"/>
  <c r="E53" i="186"/>
  <c r="E45" i="186"/>
  <c r="E87" i="186"/>
  <c r="E79" i="186"/>
  <c r="E71" i="186"/>
  <c r="E63" i="186"/>
  <c r="E55" i="186"/>
  <c r="E47" i="186"/>
  <c r="F29" i="186" l="1"/>
  <c r="F18" i="186"/>
  <c r="D89" i="188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D88" i="186" l="1"/>
  <c r="H3" i="189" l="1"/>
  <c r="E41" i="189" l="1"/>
  <c r="E44" i="189"/>
  <c r="E34" i="189"/>
  <c r="E48" i="189"/>
  <c r="E51" i="189"/>
  <c r="E52" i="189"/>
  <c r="E47" i="189"/>
  <c r="E43" i="189"/>
  <c r="E60" i="189"/>
  <c r="E32" i="189"/>
  <c r="E42" i="189"/>
  <c r="E56" i="189"/>
  <c r="E37" i="189"/>
  <c r="E30" i="189"/>
  <c r="E63" i="189"/>
  <c r="E31" i="189"/>
  <c r="E39" i="189"/>
  <c r="E38" i="189"/>
  <c r="E40" i="189"/>
  <c r="E59" i="189"/>
  <c r="E64" i="189"/>
  <c r="E54" i="189"/>
  <c r="E50" i="189"/>
  <c r="E62" i="189"/>
  <c r="E36" i="189"/>
  <c r="E57" i="189"/>
  <c r="E58" i="189"/>
  <c r="E45" i="189"/>
  <c r="E33" i="189"/>
  <c r="E46" i="189"/>
  <c r="E55" i="189"/>
  <c r="E35" i="189"/>
  <c r="E53" i="189"/>
  <c r="E61" i="189"/>
  <c r="E49" i="189"/>
  <c r="E29" i="189"/>
  <c r="D29" i="189" l="1"/>
  <c r="E89" i="189"/>
  <c r="G29" i="189" l="1"/>
  <c r="F30" i="189"/>
  <c r="D30" i="189" s="1"/>
  <c r="G30" i="189" s="1"/>
  <c r="F31" i="189" l="1"/>
  <c r="D31" i="189" s="1"/>
  <c r="G31" i="189" s="1"/>
  <c r="AA15" i="175"/>
  <c r="AA16" i="175"/>
  <c r="AA17" i="175"/>
  <c r="AA18" i="175"/>
  <c r="AA19" i="175"/>
  <c r="AA20" i="175"/>
  <c r="AA21" i="175"/>
  <c r="AA22" i="175"/>
  <c r="AA23" i="175"/>
  <c r="AA24" i="175"/>
  <c r="AA25" i="175"/>
  <c r="AA26" i="175"/>
  <c r="AA27" i="175"/>
  <c r="AA28" i="175"/>
  <c r="AA29" i="175"/>
  <c r="AA30" i="175"/>
  <c r="AA31" i="175"/>
  <c r="AA32" i="175"/>
  <c r="AA33" i="175"/>
  <c r="AA34" i="175"/>
  <c r="F32" i="189" l="1"/>
  <c r="D32" i="189" s="1"/>
  <c r="G32" i="189" s="1"/>
  <c r="AA45" i="175"/>
  <c r="AA44" i="175"/>
  <c r="AA43" i="175"/>
  <c r="AA42" i="175"/>
  <c r="AA41" i="175"/>
  <c r="AA40" i="175"/>
  <c r="AA39" i="175"/>
  <c r="AA38" i="175"/>
  <c r="C31" i="175"/>
  <c r="C32" i="175" s="1"/>
  <c r="C33" i="175" s="1"/>
  <c r="C34" i="175" s="1"/>
  <c r="C35" i="175" s="1"/>
  <c r="C36" i="175" s="1"/>
  <c r="C37" i="175" s="1"/>
  <c r="C38" i="175" s="1"/>
  <c r="C39" i="175" s="1"/>
  <c r="C40" i="175" s="1"/>
  <c r="C41" i="175" s="1"/>
  <c r="C42" i="175" s="1"/>
  <c r="C43" i="175" s="1"/>
  <c r="C44" i="175" s="1"/>
  <c r="C45" i="175" s="1"/>
  <c r="C46" i="175" s="1"/>
  <c r="C47" i="175" s="1"/>
  <c r="C48" i="175" s="1"/>
  <c r="C49" i="175" s="1"/>
  <c r="C50" i="175" s="1"/>
  <c r="C51" i="175" s="1"/>
  <c r="C52" i="175" s="1"/>
  <c r="C53" i="175" s="1"/>
  <c r="C54" i="175" s="1"/>
  <c r="C55" i="175" s="1"/>
  <c r="C56" i="175" s="1"/>
  <c r="C57" i="175" s="1"/>
  <c r="C58" i="175" s="1"/>
  <c r="C59" i="175" s="1"/>
  <c r="C60" i="175" s="1"/>
  <c r="C61" i="175" s="1"/>
  <c r="C62" i="175" s="1"/>
  <c r="C63" i="175" s="1"/>
  <c r="C64" i="175" s="1"/>
  <c r="C65" i="175" s="1"/>
  <c r="C66" i="175" s="1"/>
  <c r="C67" i="175" s="1"/>
  <c r="C68" i="175" s="1"/>
  <c r="C69" i="175" s="1"/>
  <c r="C70" i="175" s="1"/>
  <c r="C71" i="175" s="1"/>
  <c r="C72" i="175" s="1"/>
  <c r="C73" i="175" s="1"/>
  <c r="C74" i="175" s="1"/>
  <c r="C75" i="175" s="1"/>
  <c r="C76" i="175" s="1"/>
  <c r="C77" i="175" s="1"/>
  <c r="C78" i="175" s="1"/>
  <c r="C79" i="175" s="1"/>
  <c r="C80" i="175" s="1"/>
  <c r="C81" i="175" s="1"/>
  <c r="C82" i="175" s="1"/>
  <c r="C83" i="175" s="1"/>
  <c r="C84" i="175" s="1"/>
  <c r="C85" i="175" s="1"/>
  <c r="C86" i="175" s="1"/>
  <c r="C87" i="175" s="1"/>
  <c r="C88" i="175" s="1"/>
  <c r="C89" i="175" s="1"/>
  <c r="C90" i="175" s="1"/>
  <c r="C91" i="175" s="1"/>
  <c r="G30" i="175"/>
  <c r="F30" i="175"/>
  <c r="E30" i="175"/>
  <c r="D30" i="175"/>
  <c r="B30" i="175"/>
  <c r="B29" i="175"/>
  <c r="A26" i="175"/>
  <c r="A25" i="175"/>
  <c r="A24" i="175"/>
  <c r="A23" i="175"/>
  <c r="I22" i="175"/>
  <c r="H22" i="175"/>
  <c r="G22" i="175"/>
  <c r="F22" i="175"/>
  <c r="E22" i="175"/>
  <c r="D22" i="175"/>
  <c r="C22" i="175"/>
  <c r="B22" i="175"/>
  <c r="E20" i="175"/>
  <c r="D20" i="175"/>
  <c r="C20" i="175"/>
  <c r="B20" i="175"/>
  <c r="E18" i="175"/>
  <c r="D18" i="175"/>
  <c r="C18" i="175"/>
  <c r="B18" i="175"/>
  <c r="E16" i="175"/>
  <c r="D16" i="175"/>
  <c r="C16" i="175"/>
  <c r="B16" i="175"/>
  <c r="AA14" i="175"/>
  <c r="AA13" i="175"/>
  <c r="F13" i="175"/>
  <c r="E13" i="175"/>
  <c r="D13" i="175"/>
  <c r="C13" i="175"/>
  <c r="B13" i="175"/>
  <c r="AA12" i="175"/>
  <c r="AA11" i="175"/>
  <c r="M11" i="175"/>
  <c r="F11" i="175"/>
  <c r="E11" i="175"/>
  <c r="D11" i="175"/>
  <c r="C11" i="175"/>
  <c r="B11" i="175"/>
  <c r="AA10" i="175"/>
  <c r="AA9" i="175"/>
  <c r="M9" i="175"/>
  <c r="F9" i="175"/>
  <c r="E14" i="175" s="1"/>
  <c r="E9" i="175"/>
  <c r="D9" i="175"/>
  <c r="C9" i="175"/>
  <c r="B9" i="175"/>
  <c r="M7" i="175"/>
  <c r="F7" i="175"/>
  <c r="E7" i="175"/>
  <c r="D7" i="175"/>
  <c r="C7" i="175"/>
  <c r="B7" i="175"/>
  <c r="H5" i="175"/>
  <c r="G5" i="175"/>
  <c r="B5" i="175"/>
  <c r="K3" i="175"/>
  <c r="M3" i="175" s="1" a="1"/>
  <c r="V3" i="175" s="1"/>
  <c r="G3" i="175"/>
  <c r="G2" i="175"/>
  <c r="F2" i="175"/>
  <c r="E2" i="175"/>
  <c r="AA45" i="173"/>
  <c r="AA44" i="173"/>
  <c r="AA43" i="173"/>
  <c r="AA42" i="173"/>
  <c r="AA41" i="173"/>
  <c r="AA40" i="173"/>
  <c r="AA39" i="173"/>
  <c r="AA38" i="173"/>
  <c r="AA34" i="173"/>
  <c r="AA33" i="173"/>
  <c r="AA32" i="173"/>
  <c r="AA31" i="173"/>
  <c r="C31" i="173"/>
  <c r="C32" i="173" s="1"/>
  <c r="C33" i="173" s="1"/>
  <c r="C34" i="173" s="1"/>
  <c r="C35" i="173" s="1"/>
  <c r="C36" i="173" s="1"/>
  <c r="C37" i="173" s="1"/>
  <c r="C38" i="173" s="1"/>
  <c r="C39" i="173" s="1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AA30" i="173"/>
  <c r="G30" i="173"/>
  <c r="F30" i="173"/>
  <c r="E30" i="173"/>
  <c r="D30" i="173"/>
  <c r="B30" i="173"/>
  <c r="AA29" i="173"/>
  <c r="B29" i="173"/>
  <c r="AA28" i="173"/>
  <c r="AA27" i="173"/>
  <c r="AA26" i="173"/>
  <c r="A26" i="173"/>
  <c r="AA25" i="173"/>
  <c r="A25" i="173"/>
  <c r="AA24" i="173"/>
  <c r="A24" i="173"/>
  <c r="AA23" i="173"/>
  <c r="A23" i="173"/>
  <c r="AA22" i="173"/>
  <c r="I22" i="173"/>
  <c r="H22" i="173"/>
  <c r="G22" i="173"/>
  <c r="F22" i="173"/>
  <c r="E22" i="173"/>
  <c r="D22" i="173"/>
  <c r="C22" i="173"/>
  <c r="B22" i="173"/>
  <c r="AA21" i="173"/>
  <c r="AA20" i="173"/>
  <c r="E20" i="173"/>
  <c r="D20" i="173"/>
  <c r="C20" i="173"/>
  <c r="B20" i="173"/>
  <c r="AA19" i="173"/>
  <c r="AA18" i="173"/>
  <c r="E18" i="173"/>
  <c r="D18" i="173"/>
  <c r="C18" i="173"/>
  <c r="B18" i="173"/>
  <c r="AA17" i="173"/>
  <c r="AA16" i="173"/>
  <c r="E16" i="173"/>
  <c r="D16" i="173"/>
  <c r="C16" i="173"/>
  <c r="B16" i="173"/>
  <c r="AA15" i="173"/>
  <c r="AA14" i="173"/>
  <c r="AA13" i="173"/>
  <c r="F13" i="173"/>
  <c r="D91" i="173" s="1"/>
  <c r="E13" i="173"/>
  <c r="D13" i="173"/>
  <c r="C13" i="173"/>
  <c r="B13" i="173"/>
  <c r="AA12" i="173"/>
  <c r="AA11" i="173"/>
  <c r="M11" i="173"/>
  <c r="F11" i="173"/>
  <c r="E11" i="173"/>
  <c r="D11" i="173"/>
  <c r="C11" i="173"/>
  <c r="B11" i="173"/>
  <c r="AA10" i="173"/>
  <c r="AA9" i="173"/>
  <c r="M9" i="173"/>
  <c r="F9" i="173"/>
  <c r="E14" i="173" s="1"/>
  <c r="E9" i="173"/>
  <c r="D9" i="173"/>
  <c r="C9" i="173"/>
  <c r="B9" i="173"/>
  <c r="M7" i="173"/>
  <c r="F7" i="173"/>
  <c r="G7" i="173" s="1"/>
  <c r="E7" i="173"/>
  <c r="D7" i="173"/>
  <c r="C7" i="173"/>
  <c r="B7" i="173"/>
  <c r="H5" i="173"/>
  <c r="G5" i="173"/>
  <c r="B5" i="173"/>
  <c r="K3" i="173"/>
  <c r="M3" i="173" s="1" a="1"/>
  <c r="G3" i="173"/>
  <c r="G2" i="173"/>
  <c r="F2" i="173"/>
  <c r="E2" i="173"/>
  <c r="F33" i="189" l="1"/>
  <c r="D33" i="189" s="1"/>
  <c r="E3" i="175"/>
  <c r="G31" i="175" s="1"/>
  <c r="V13" i="175"/>
  <c r="V9" i="175"/>
  <c r="V11" i="175"/>
  <c r="V7" i="175"/>
  <c r="V5" i="175"/>
  <c r="M3" i="175"/>
  <c r="O3" i="175"/>
  <c r="Q3" i="175"/>
  <c r="S3" i="175"/>
  <c r="U3" i="175"/>
  <c r="G7" i="175"/>
  <c r="N3" i="175"/>
  <c r="P3" i="175"/>
  <c r="R3" i="175"/>
  <c r="T3" i="175"/>
  <c r="E81" i="173"/>
  <c r="E83" i="173"/>
  <c r="E85" i="173"/>
  <c r="E87" i="173"/>
  <c r="E89" i="173"/>
  <c r="E91" i="173"/>
  <c r="D80" i="173"/>
  <c r="D82" i="173"/>
  <c r="D84" i="173"/>
  <c r="D86" i="173"/>
  <c r="D88" i="173"/>
  <c r="D90" i="173"/>
  <c r="E3" i="173"/>
  <c r="F3" i="173" s="1"/>
  <c r="V3" i="173"/>
  <c r="T3" i="173"/>
  <c r="R3" i="173"/>
  <c r="P3" i="173"/>
  <c r="N3" i="173"/>
  <c r="O3" i="173"/>
  <c r="S3" i="173"/>
  <c r="M3" i="173"/>
  <c r="Q3" i="173"/>
  <c r="U3" i="173"/>
  <c r="E68" i="173"/>
  <c r="E80" i="173"/>
  <c r="D81" i="173"/>
  <c r="E82" i="173"/>
  <c r="D83" i="173"/>
  <c r="E84" i="173"/>
  <c r="D85" i="173"/>
  <c r="E86" i="173"/>
  <c r="D87" i="173"/>
  <c r="E88" i="173"/>
  <c r="D89" i="173"/>
  <c r="E90" i="173"/>
  <c r="G33" i="189" l="1"/>
  <c r="F34" i="189"/>
  <c r="D34" i="189" s="1"/>
  <c r="G34" i="189" s="1"/>
  <c r="E15" i="173"/>
  <c r="E36" i="173" s="1"/>
  <c r="G31" i="173"/>
  <c r="F3" i="175"/>
  <c r="E15" i="175"/>
  <c r="T13" i="175"/>
  <c r="T9" i="175"/>
  <c r="T11" i="175"/>
  <c r="T7" i="175"/>
  <c r="T5" i="175"/>
  <c r="P13" i="175"/>
  <c r="P9" i="175"/>
  <c r="P11" i="175"/>
  <c r="P7" i="175"/>
  <c r="P5" i="175"/>
  <c r="S11" i="175"/>
  <c r="S7" i="175"/>
  <c r="S5" i="175"/>
  <c r="S13" i="175"/>
  <c r="S9" i="175"/>
  <c r="O11" i="175"/>
  <c r="O7" i="175"/>
  <c r="O5" i="175"/>
  <c r="O13" i="175"/>
  <c r="O9" i="175"/>
  <c r="V15" i="175"/>
  <c r="V20" i="175" s="1"/>
  <c r="V16" i="175" s="1"/>
  <c r="V18" i="175" s="1"/>
  <c r="R13" i="175"/>
  <c r="R9" i="175"/>
  <c r="R11" i="175"/>
  <c r="R7" i="175"/>
  <c r="R5" i="175"/>
  <c r="N13" i="175"/>
  <c r="N9" i="175"/>
  <c r="N11" i="175"/>
  <c r="N7" i="175"/>
  <c r="N5" i="175"/>
  <c r="U11" i="175"/>
  <c r="U7" i="175"/>
  <c r="U5" i="175"/>
  <c r="U13" i="175"/>
  <c r="U9" i="175"/>
  <c r="Q11" i="175"/>
  <c r="Q7" i="175"/>
  <c r="Q5" i="175"/>
  <c r="Q13" i="175"/>
  <c r="Q9" i="175"/>
  <c r="M5" i="175"/>
  <c r="M15" i="175" s="1"/>
  <c r="M13" i="175"/>
  <c r="E76" i="173"/>
  <c r="E60" i="173"/>
  <c r="E45" i="173"/>
  <c r="E72" i="173"/>
  <c r="E64" i="173"/>
  <c r="E56" i="173"/>
  <c r="E43" i="173"/>
  <c r="E78" i="173"/>
  <c r="E74" i="173"/>
  <c r="E70" i="173"/>
  <c r="E66" i="173"/>
  <c r="E62" i="173"/>
  <c r="E58" i="173"/>
  <c r="E38" i="173"/>
  <c r="U11" i="173"/>
  <c r="U7" i="173"/>
  <c r="U5" i="173"/>
  <c r="U9" i="173"/>
  <c r="U13" i="173"/>
  <c r="M5" i="173"/>
  <c r="M15" i="173" s="1"/>
  <c r="M13" i="173"/>
  <c r="O11" i="173"/>
  <c r="O7" i="173"/>
  <c r="O5" i="173"/>
  <c r="O13" i="173"/>
  <c r="O9" i="173"/>
  <c r="P13" i="173"/>
  <c r="P9" i="173"/>
  <c r="P11" i="173"/>
  <c r="P7" i="173"/>
  <c r="P5" i="173"/>
  <c r="T13" i="173"/>
  <c r="T9" i="173"/>
  <c r="T11" i="173"/>
  <c r="T7" i="173"/>
  <c r="T5" i="173"/>
  <c r="Q11" i="173"/>
  <c r="Q7" i="173"/>
  <c r="Q5" i="173"/>
  <c r="Q9" i="173"/>
  <c r="Q13" i="173"/>
  <c r="E79" i="173"/>
  <c r="E77" i="173"/>
  <c r="E75" i="173"/>
  <c r="E73" i="173"/>
  <c r="E69" i="173"/>
  <c r="E65" i="173"/>
  <c r="E61" i="173"/>
  <c r="E57" i="173"/>
  <c r="E71" i="173"/>
  <c r="E67" i="173"/>
  <c r="E63" i="173"/>
  <c r="E59" i="173"/>
  <c r="E34" i="173"/>
  <c r="S11" i="173"/>
  <c r="S7" i="173"/>
  <c r="S5" i="173"/>
  <c r="S13" i="173"/>
  <c r="S9" i="173"/>
  <c r="N13" i="173"/>
  <c r="N9" i="173"/>
  <c r="N7" i="173"/>
  <c r="N5" i="173"/>
  <c r="N11" i="173"/>
  <c r="R13" i="173"/>
  <c r="R9" i="173"/>
  <c r="R7" i="173"/>
  <c r="R5" i="173"/>
  <c r="R11" i="173"/>
  <c r="V13" i="173"/>
  <c r="V9" i="173"/>
  <c r="V7" i="173"/>
  <c r="V5" i="173"/>
  <c r="V11" i="173"/>
  <c r="F35" i="189" l="1"/>
  <c r="D35" i="189" s="1"/>
  <c r="F32" i="173"/>
  <c r="N15" i="173"/>
  <c r="N20" i="173" s="1"/>
  <c r="E52" i="173"/>
  <c r="V15" i="173"/>
  <c r="V20" i="173" s="1"/>
  <c r="V16" i="173" s="1"/>
  <c r="V18" i="173" s="1"/>
  <c r="E55" i="173"/>
  <c r="E46" i="173"/>
  <c r="E32" i="173"/>
  <c r="E47" i="173"/>
  <c r="E49" i="173"/>
  <c r="E42" i="173"/>
  <c r="E54" i="173"/>
  <c r="E33" i="173"/>
  <c r="E35" i="173"/>
  <c r="E51" i="173"/>
  <c r="E37" i="173"/>
  <c r="E53" i="173"/>
  <c r="E40" i="173"/>
  <c r="E44" i="173"/>
  <c r="E50" i="173"/>
  <c r="E39" i="173"/>
  <c r="E48" i="173"/>
  <c r="E46" i="175"/>
  <c r="E33" i="175"/>
  <c r="R15" i="173"/>
  <c r="R20" i="173" s="1"/>
  <c r="R16" i="173" s="1"/>
  <c r="R18" i="173" s="1"/>
  <c r="E55" i="175"/>
  <c r="E47" i="175"/>
  <c r="E63" i="175"/>
  <c r="E75" i="175"/>
  <c r="E42" i="175"/>
  <c r="E35" i="175"/>
  <c r="E51" i="175"/>
  <c r="E59" i="175"/>
  <c r="E67" i="175"/>
  <c r="E38" i="175"/>
  <c r="N15" i="175"/>
  <c r="N20" i="175" s="1"/>
  <c r="G16" i="173"/>
  <c r="H16" i="173" s="1"/>
  <c r="E41" i="173"/>
  <c r="G16" i="175"/>
  <c r="E69" i="175"/>
  <c r="E77" i="175"/>
  <c r="E81" i="175"/>
  <c r="E83" i="175"/>
  <c r="E85" i="175"/>
  <c r="E87" i="175"/>
  <c r="E89" i="175"/>
  <c r="E91" i="175"/>
  <c r="E39" i="175"/>
  <c r="E43" i="175"/>
  <c r="E48" i="175"/>
  <c r="E54" i="175"/>
  <c r="E58" i="175"/>
  <c r="E62" i="175"/>
  <c r="E66" i="175"/>
  <c r="E70" i="175"/>
  <c r="E74" i="175"/>
  <c r="E78" i="175"/>
  <c r="E34" i="175"/>
  <c r="E73" i="175"/>
  <c r="E36" i="175"/>
  <c r="E41" i="175"/>
  <c r="E45" i="175"/>
  <c r="E52" i="175"/>
  <c r="E56" i="175"/>
  <c r="E60" i="175"/>
  <c r="E64" i="175"/>
  <c r="E68" i="175"/>
  <c r="E72" i="175"/>
  <c r="E76" i="175"/>
  <c r="E80" i="175"/>
  <c r="E82" i="175"/>
  <c r="E84" i="175"/>
  <c r="E86" i="175"/>
  <c r="E88" i="175"/>
  <c r="E90" i="175"/>
  <c r="F32" i="175"/>
  <c r="R15" i="175"/>
  <c r="R20" i="175" s="1"/>
  <c r="R16" i="175" s="1"/>
  <c r="R18" i="175" s="1"/>
  <c r="E37" i="175"/>
  <c r="E49" i="175"/>
  <c r="E53" i="175"/>
  <c r="E57" i="175"/>
  <c r="E61" i="175"/>
  <c r="E65" i="175"/>
  <c r="T15" i="175"/>
  <c r="T20" i="175" s="1"/>
  <c r="T16" i="175" s="1"/>
  <c r="T18" i="175" s="1"/>
  <c r="E32" i="175"/>
  <c r="E71" i="175"/>
  <c r="E79" i="175"/>
  <c r="E40" i="175"/>
  <c r="E44" i="175"/>
  <c r="E50" i="175"/>
  <c r="U15" i="175"/>
  <c r="U20" i="175" s="1"/>
  <c r="U16" i="175" s="1"/>
  <c r="U18" i="175" s="1"/>
  <c r="O15" i="175"/>
  <c r="O20" i="175" s="1"/>
  <c r="P15" i="175"/>
  <c r="P20" i="175" s="1"/>
  <c r="M20" i="175"/>
  <c r="Q15" i="175"/>
  <c r="Q20" i="175" s="1"/>
  <c r="Q16" i="175" s="1"/>
  <c r="Q18" i="175" s="1"/>
  <c r="S15" i="175"/>
  <c r="S20" i="175" s="1"/>
  <c r="S16" i="175" s="1"/>
  <c r="S18" i="175" s="1"/>
  <c r="Q15" i="173"/>
  <c r="Q20" i="173" s="1"/>
  <c r="Q16" i="173" s="1"/>
  <c r="Q18" i="173" s="1"/>
  <c r="P15" i="173"/>
  <c r="P20" i="173" s="1"/>
  <c r="S15" i="173"/>
  <c r="S20" i="173" s="1"/>
  <c r="S16" i="173" s="1"/>
  <c r="S18" i="173" s="1"/>
  <c r="T15" i="173"/>
  <c r="T20" i="173" s="1"/>
  <c r="T16" i="173" s="1"/>
  <c r="T18" i="173" s="1"/>
  <c r="O15" i="173"/>
  <c r="O20" i="173" s="1"/>
  <c r="M20" i="173"/>
  <c r="U15" i="173"/>
  <c r="U20" i="173" s="1"/>
  <c r="U16" i="173" s="1"/>
  <c r="U18" i="173" s="1"/>
  <c r="G35" i="189" l="1"/>
  <c r="F36" i="189"/>
  <c r="D36" i="189" s="1"/>
  <c r="G36" i="189" s="1"/>
  <c r="D32" i="173"/>
  <c r="G32" i="173" s="1"/>
  <c r="E92" i="173"/>
  <c r="D33" i="175"/>
  <c r="D32" i="175"/>
  <c r="D24" i="175"/>
  <c r="I24" i="175" s="1"/>
  <c r="N16" i="175"/>
  <c r="N18" i="175" s="1"/>
  <c r="F24" i="175" s="1"/>
  <c r="H16" i="175"/>
  <c r="E92" i="175"/>
  <c r="O16" i="175"/>
  <c r="D25" i="175"/>
  <c r="I25" i="175" s="1"/>
  <c r="D26" i="175"/>
  <c r="I26" i="175" s="1"/>
  <c r="P16" i="175"/>
  <c r="M16" i="175"/>
  <c r="D23" i="175"/>
  <c r="I23" i="175" s="1"/>
  <c r="O16" i="173"/>
  <c r="D25" i="173"/>
  <c r="I25" i="173" s="1"/>
  <c r="D24" i="173"/>
  <c r="I24" i="173" s="1"/>
  <c r="N16" i="173"/>
  <c r="M16" i="173"/>
  <c r="D23" i="173"/>
  <c r="I23" i="173" s="1"/>
  <c r="P16" i="173"/>
  <c r="D26" i="173"/>
  <c r="I26" i="173" s="1"/>
  <c r="F37" i="189" l="1"/>
  <c r="D37" i="189" s="1"/>
  <c r="F33" i="173"/>
  <c r="E24" i="175"/>
  <c r="H24" i="175" s="1"/>
  <c r="G32" i="175"/>
  <c r="F33" i="175"/>
  <c r="F34" i="175"/>
  <c r="E23" i="175"/>
  <c r="M18" i="175"/>
  <c r="F23" i="175" s="1"/>
  <c r="E25" i="175"/>
  <c r="O18" i="175"/>
  <c r="F25" i="175" s="1"/>
  <c r="E26" i="175"/>
  <c r="P18" i="175"/>
  <c r="F26" i="175" s="1"/>
  <c r="E24" i="173"/>
  <c r="N18" i="173"/>
  <c r="F24" i="173" s="1"/>
  <c r="E26" i="173"/>
  <c r="P18" i="173"/>
  <c r="F26" i="173" s="1"/>
  <c r="E23" i="173"/>
  <c r="M18" i="173"/>
  <c r="F23" i="173" s="1"/>
  <c r="D33" i="173"/>
  <c r="E25" i="173"/>
  <c r="O18" i="173"/>
  <c r="F25" i="173" s="1"/>
  <c r="G37" i="189" l="1"/>
  <c r="F38" i="189"/>
  <c r="D38" i="189" s="1"/>
  <c r="G24" i="175"/>
  <c r="G26" i="175"/>
  <c r="H26" i="175"/>
  <c r="G33" i="175"/>
  <c r="G25" i="175"/>
  <c r="H25" i="175"/>
  <c r="G23" i="175"/>
  <c r="H23" i="175"/>
  <c r="G25" i="173"/>
  <c r="H25" i="173"/>
  <c r="G33" i="173"/>
  <c r="F34" i="173"/>
  <c r="G23" i="173"/>
  <c r="H23" i="173"/>
  <c r="G26" i="173"/>
  <c r="H26" i="173"/>
  <c r="G24" i="173"/>
  <c r="H24" i="173"/>
  <c r="G38" i="189" l="1"/>
  <c r="F39" i="189"/>
  <c r="D39" i="189" s="1"/>
  <c r="G39" i="189" s="1"/>
  <c r="D34" i="175"/>
  <c r="D34" i="173"/>
  <c r="F40" i="189" l="1"/>
  <c r="D40" i="189" s="1"/>
  <c r="G40" i="189" s="1"/>
  <c r="G34" i="175"/>
  <c r="F35" i="175"/>
  <c r="G34" i="173"/>
  <c r="F35" i="173"/>
  <c r="F41" i="189" l="1"/>
  <c r="D41" i="189" s="1"/>
  <c r="G41" i="189" s="1"/>
  <c r="F42" i="189"/>
  <c r="D42" i="189" s="1"/>
  <c r="G42" i="189" s="1"/>
  <c r="D35" i="175"/>
  <c r="D35" i="173"/>
  <c r="F43" i="189" l="1"/>
  <c r="D43" i="189" s="1"/>
  <c r="G35" i="175"/>
  <c r="F36" i="175"/>
  <c r="D36" i="175" s="1"/>
  <c r="G36" i="175" s="1"/>
  <c r="G35" i="173"/>
  <c r="F36" i="173"/>
  <c r="D36" i="173" s="1"/>
  <c r="G36" i="173" s="1"/>
  <c r="G43" i="189" l="1"/>
  <c r="F44" i="189"/>
  <c r="D44" i="189" s="1"/>
  <c r="F45" i="189" s="1"/>
  <c r="D45" i="189" s="1"/>
  <c r="G45" i="189" s="1"/>
  <c r="F37" i="175"/>
  <c r="D37" i="175" s="1"/>
  <c r="G37" i="175" s="1"/>
  <c r="F37" i="173"/>
  <c r="D37" i="173" s="1"/>
  <c r="G44" i="189" l="1"/>
  <c r="F46" i="189"/>
  <c r="D46" i="189" s="1"/>
  <c r="G46" i="189" s="1"/>
  <c r="F47" i="189"/>
  <c r="D47" i="189" s="1"/>
  <c r="G47" i="189" s="1"/>
  <c r="F38" i="175"/>
  <c r="D38" i="175" s="1"/>
  <c r="G38" i="175" s="1"/>
  <c r="G37" i="173"/>
  <c r="F38" i="173"/>
  <c r="D38" i="173" s="1"/>
  <c r="F48" i="189" l="1"/>
  <c r="D48" i="189" s="1"/>
  <c r="G48" i="189" s="1"/>
  <c r="F39" i="175"/>
  <c r="D39" i="175" s="1"/>
  <c r="G39" i="175" s="1"/>
  <c r="G38" i="173"/>
  <c r="F39" i="173"/>
  <c r="D39" i="173" s="1"/>
  <c r="F49" i="189" l="1"/>
  <c r="D49" i="189" s="1"/>
  <c r="G49" i="189" s="1"/>
  <c r="F40" i="175"/>
  <c r="D40" i="175" s="1"/>
  <c r="G40" i="175" s="1"/>
  <c r="G39" i="173"/>
  <c r="F40" i="173"/>
  <c r="D40" i="173" s="1"/>
  <c r="F50" i="189" l="1"/>
  <c r="D50" i="189" s="1"/>
  <c r="G50" i="189" s="1"/>
  <c r="F51" i="189"/>
  <c r="D51" i="189" s="1"/>
  <c r="G51" i="189" s="1"/>
  <c r="F41" i="175"/>
  <c r="D41" i="175" s="1"/>
  <c r="G41" i="175" s="1"/>
  <c r="G40" i="173"/>
  <c r="F41" i="173"/>
  <c r="D41" i="173" s="1"/>
  <c r="F52" i="189" l="1"/>
  <c r="D52" i="189" s="1"/>
  <c r="G52" i="189" s="1"/>
  <c r="F42" i="175"/>
  <c r="D42" i="175" s="1"/>
  <c r="G42" i="175" s="1"/>
  <c r="G41" i="173"/>
  <c r="F42" i="173"/>
  <c r="D42" i="173" s="1"/>
  <c r="F53" i="189" l="1"/>
  <c r="D53" i="189" s="1"/>
  <c r="G53" i="189" s="1"/>
  <c r="F43" i="175"/>
  <c r="D43" i="175" s="1"/>
  <c r="G43" i="175" s="1"/>
  <c r="G42" i="173"/>
  <c r="F43" i="173"/>
  <c r="D43" i="173" s="1"/>
  <c r="F54" i="189" l="1"/>
  <c r="D54" i="189" s="1"/>
  <c r="G54" i="189" s="1"/>
  <c r="F55" i="189"/>
  <c r="D55" i="189" s="1"/>
  <c r="G55" i="189" s="1"/>
  <c r="F44" i="175"/>
  <c r="D44" i="175" s="1"/>
  <c r="G44" i="175" s="1"/>
  <c r="G43" i="173"/>
  <c r="F44" i="173"/>
  <c r="D44" i="173" s="1"/>
  <c r="F56" i="189" l="1"/>
  <c r="D56" i="189" s="1"/>
  <c r="F57" i="189" s="1"/>
  <c r="D57" i="189" s="1"/>
  <c r="F45" i="175"/>
  <c r="D45" i="175" s="1"/>
  <c r="G45" i="175" s="1"/>
  <c r="G44" i="173"/>
  <c r="F45" i="173"/>
  <c r="D45" i="173" s="1"/>
  <c r="G56" i="189" l="1"/>
  <c r="G57" i="189"/>
  <c r="F58" i="189"/>
  <c r="D58" i="189" s="1"/>
  <c r="F46" i="175"/>
  <c r="D46" i="175" s="1"/>
  <c r="G46" i="175" s="1"/>
  <c r="G45" i="173"/>
  <c r="F46" i="173"/>
  <c r="D46" i="173" s="1"/>
  <c r="G58" i="189" l="1"/>
  <c r="F59" i="189"/>
  <c r="D59" i="189" s="1"/>
  <c r="F47" i="175"/>
  <c r="D47" i="175" s="1"/>
  <c r="G47" i="175" s="1"/>
  <c r="G46" i="173"/>
  <c r="F47" i="173"/>
  <c r="D47" i="173" s="1"/>
  <c r="G59" i="189" l="1"/>
  <c r="F60" i="189"/>
  <c r="D60" i="189" s="1"/>
  <c r="F48" i="175"/>
  <c r="D48" i="175" s="1"/>
  <c r="G48" i="175" s="1"/>
  <c r="G47" i="173"/>
  <c r="F48" i="173"/>
  <c r="D48" i="173" s="1"/>
  <c r="G60" i="189" l="1"/>
  <c r="F61" i="189"/>
  <c r="D61" i="189" s="1"/>
  <c r="F49" i="175"/>
  <c r="D49" i="175" s="1"/>
  <c r="G49" i="175" s="1"/>
  <c r="G48" i="173"/>
  <c r="F49" i="173"/>
  <c r="D49" i="173" s="1"/>
  <c r="G61" i="189" l="1"/>
  <c r="F62" i="189"/>
  <c r="D62" i="189" s="1"/>
  <c r="F50" i="175"/>
  <c r="D50" i="175" s="1"/>
  <c r="G50" i="175" s="1"/>
  <c r="G49" i="173"/>
  <c r="F50" i="173"/>
  <c r="D50" i="173" s="1"/>
  <c r="G62" i="189" l="1"/>
  <c r="F63" i="189"/>
  <c r="D63" i="189" s="1"/>
  <c r="F51" i="175"/>
  <c r="D51" i="175" s="1"/>
  <c r="G51" i="175" s="1"/>
  <c r="G50" i="173"/>
  <c r="F51" i="173"/>
  <c r="D51" i="173" s="1"/>
  <c r="G63" i="189" l="1"/>
  <c r="F64" i="189"/>
  <c r="D64" i="189" s="1"/>
  <c r="F52" i="175"/>
  <c r="D52" i="175" s="1"/>
  <c r="G52" i="175" s="1"/>
  <c r="G51" i="173"/>
  <c r="F52" i="173"/>
  <c r="D52" i="173" s="1"/>
  <c r="G64" i="189" l="1"/>
  <c r="F65" i="189"/>
  <c r="D65" i="189" s="1"/>
  <c r="F53" i="175"/>
  <c r="D53" i="175" s="1"/>
  <c r="G53" i="175" s="1"/>
  <c r="G52" i="173"/>
  <c r="F53" i="173"/>
  <c r="D53" i="173" s="1"/>
  <c r="G65" i="189" l="1"/>
  <c r="F66" i="189"/>
  <c r="D66" i="189" s="1"/>
  <c r="F54" i="175"/>
  <c r="D54" i="175" s="1"/>
  <c r="G54" i="175" s="1"/>
  <c r="G53" i="173"/>
  <c r="F54" i="173"/>
  <c r="D54" i="173" s="1"/>
  <c r="G66" i="189" l="1"/>
  <c r="F67" i="189"/>
  <c r="D67" i="189" s="1"/>
  <c r="F55" i="175"/>
  <c r="D55" i="175" s="1"/>
  <c r="G55" i="175" s="1"/>
  <c r="G54" i="173"/>
  <c r="F55" i="173"/>
  <c r="D55" i="173" s="1"/>
  <c r="G67" i="189" l="1"/>
  <c r="F68" i="189"/>
  <c r="D68" i="189" s="1"/>
  <c r="F56" i="175"/>
  <c r="D56" i="175" s="1"/>
  <c r="G56" i="175" s="1"/>
  <c r="G55" i="173"/>
  <c r="F56" i="173"/>
  <c r="D56" i="173" s="1"/>
  <c r="G68" i="189" l="1"/>
  <c r="F69" i="189"/>
  <c r="D69" i="189" s="1"/>
  <c r="F57" i="175"/>
  <c r="D57" i="175" s="1"/>
  <c r="G57" i="175" s="1"/>
  <c r="G56" i="173"/>
  <c r="F57" i="173"/>
  <c r="D57" i="173" s="1"/>
  <c r="G69" i="189" l="1"/>
  <c r="F70" i="189"/>
  <c r="D70" i="189" s="1"/>
  <c r="F58" i="175"/>
  <c r="D58" i="175" s="1"/>
  <c r="G58" i="175" s="1"/>
  <c r="G57" i="173"/>
  <c r="F58" i="173"/>
  <c r="D58" i="173" s="1"/>
  <c r="G70" i="189" l="1"/>
  <c r="F71" i="189"/>
  <c r="D71" i="189" s="1"/>
  <c r="F59" i="175"/>
  <c r="D59" i="175" s="1"/>
  <c r="G59" i="175" s="1"/>
  <c r="G58" i="173"/>
  <c r="F59" i="173"/>
  <c r="D59" i="173" s="1"/>
  <c r="G71" i="189" l="1"/>
  <c r="F72" i="189"/>
  <c r="D72" i="189" s="1"/>
  <c r="F60" i="175"/>
  <c r="D60" i="175" s="1"/>
  <c r="G60" i="175" s="1"/>
  <c r="G59" i="173"/>
  <c r="F60" i="173"/>
  <c r="D60" i="173" s="1"/>
  <c r="G72" i="189" l="1"/>
  <c r="F73" i="189"/>
  <c r="D73" i="189" s="1"/>
  <c r="F61" i="175"/>
  <c r="D61" i="175" s="1"/>
  <c r="G61" i="175" s="1"/>
  <c r="G60" i="173"/>
  <c r="F61" i="173"/>
  <c r="D61" i="173" s="1"/>
  <c r="G73" i="189" l="1"/>
  <c r="F74" i="189"/>
  <c r="D74" i="189" s="1"/>
  <c r="F62" i="175"/>
  <c r="D62" i="175" s="1"/>
  <c r="G62" i="175" s="1"/>
  <c r="G61" i="173"/>
  <c r="F62" i="173"/>
  <c r="D62" i="173" s="1"/>
  <c r="G74" i="189" l="1"/>
  <c r="F75" i="189"/>
  <c r="D75" i="189" s="1"/>
  <c r="F63" i="175"/>
  <c r="D63" i="175" s="1"/>
  <c r="G63" i="175" s="1"/>
  <c r="G62" i="173"/>
  <c r="F63" i="173"/>
  <c r="D63" i="173" s="1"/>
  <c r="G75" i="189" l="1"/>
  <c r="F76" i="189"/>
  <c r="D76" i="189" s="1"/>
  <c r="F64" i="175"/>
  <c r="D64" i="175" s="1"/>
  <c r="G64" i="175" s="1"/>
  <c r="G63" i="173"/>
  <c r="F64" i="173"/>
  <c r="D64" i="173" s="1"/>
  <c r="G76" i="189" l="1"/>
  <c r="F77" i="189"/>
  <c r="D77" i="189" s="1"/>
  <c r="F65" i="175"/>
  <c r="D65" i="175" s="1"/>
  <c r="G65" i="175" s="1"/>
  <c r="G64" i="173"/>
  <c r="F65" i="173"/>
  <c r="D65" i="173" s="1"/>
  <c r="G77" i="189" l="1"/>
  <c r="F78" i="189"/>
  <c r="D78" i="189" s="1"/>
  <c r="F66" i="175"/>
  <c r="D66" i="175" s="1"/>
  <c r="G66" i="175" s="1"/>
  <c r="G65" i="173"/>
  <c r="F66" i="173"/>
  <c r="D66" i="173" s="1"/>
  <c r="G78" i="189" l="1"/>
  <c r="F79" i="189"/>
  <c r="D79" i="189" s="1"/>
  <c r="F67" i="175"/>
  <c r="D67" i="175" s="1"/>
  <c r="G67" i="175" s="1"/>
  <c r="G66" i="173"/>
  <c r="F67" i="173"/>
  <c r="D67" i="173" s="1"/>
  <c r="G79" i="189" l="1"/>
  <c r="F80" i="189"/>
  <c r="D80" i="189" s="1"/>
  <c r="F68" i="175"/>
  <c r="D68" i="175" s="1"/>
  <c r="G68" i="175" s="1"/>
  <c r="G67" i="173"/>
  <c r="F68" i="173"/>
  <c r="D68" i="173" s="1"/>
  <c r="G80" i="189" l="1"/>
  <c r="F81" i="189"/>
  <c r="D81" i="189" s="1"/>
  <c r="F69" i="175"/>
  <c r="D69" i="175" s="1"/>
  <c r="G69" i="175" s="1"/>
  <c r="G68" i="173"/>
  <c r="F69" i="173"/>
  <c r="D69" i="173" s="1"/>
  <c r="G81" i="189" l="1"/>
  <c r="F82" i="189"/>
  <c r="D82" i="189" s="1"/>
  <c r="F70" i="175"/>
  <c r="D70" i="175" s="1"/>
  <c r="G70" i="175" s="1"/>
  <c r="G69" i="173"/>
  <c r="F70" i="173"/>
  <c r="D70" i="173" s="1"/>
  <c r="G82" i="189" l="1"/>
  <c r="F83" i="189"/>
  <c r="D83" i="189" s="1"/>
  <c r="F71" i="175"/>
  <c r="D71" i="175" s="1"/>
  <c r="G71" i="175" s="1"/>
  <c r="G70" i="173"/>
  <c r="F71" i="173"/>
  <c r="D71" i="173" s="1"/>
  <c r="G83" i="189" l="1"/>
  <c r="F84" i="189"/>
  <c r="D84" i="189" s="1"/>
  <c r="F72" i="175"/>
  <c r="D72" i="175" s="1"/>
  <c r="G72" i="175" s="1"/>
  <c r="G71" i="173"/>
  <c r="F72" i="173"/>
  <c r="D72" i="173" s="1"/>
  <c r="G84" i="189" l="1"/>
  <c r="F85" i="189"/>
  <c r="D85" i="189" s="1"/>
  <c r="F73" i="175"/>
  <c r="D73" i="175" s="1"/>
  <c r="G73" i="175" s="1"/>
  <c r="G72" i="173"/>
  <c r="F73" i="173"/>
  <c r="D73" i="173" s="1"/>
  <c r="G85" i="189" l="1"/>
  <c r="F86" i="189"/>
  <c r="D86" i="189" s="1"/>
  <c r="F74" i="175"/>
  <c r="D74" i="175" s="1"/>
  <c r="G74" i="175" s="1"/>
  <c r="G73" i="173"/>
  <c r="F74" i="173"/>
  <c r="D74" i="173" s="1"/>
  <c r="G86" i="189" l="1"/>
  <c r="F87" i="189"/>
  <c r="D87" i="189" s="1"/>
  <c r="F75" i="175"/>
  <c r="D75" i="175" s="1"/>
  <c r="G75" i="175" s="1"/>
  <c r="G74" i="173"/>
  <c r="F75" i="173"/>
  <c r="D75" i="173" s="1"/>
  <c r="G87" i="189" l="1"/>
  <c r="D89" i="189"/>
  <c r="F7" i="189" s="1"/>
  <c r="F88" i="189"/>
  <c r="F76" i="175"/>
  <c r="D76" i="175" s="1"/>
  <c r="G76" i="175" s="1"/>
  <c r="G75" i="173"/>
  <c r="F76" i="173"/>
  <c r="D76" i="173" s="1"/>
  <c r="F89" i="189" l="1"/>
  <c r="G88" i="189"/>
  <c r="F77" i="175"/>
  <c r="D77" i="175" s="1"/>
  <c r="G77" i="175" s="1"/>
  <c r="G76" i="173"/>
  <c r="F77" i="173"/>
  <c r="D77" i="173" s="1"/>
  <c r="G89" i="189" l="1"/>
  <c r="F20" i="189" s="1"/>
  <c r="F22" i="189" s="1"/>
  <c r="F24" i="189"/>
  <c r="F78" i="175"/>
  <c r="D78" i="175" s="1"/>
  <c r="G78" i="175" s="1"/>
  <c r="G77" i="173"/>
  <c r="F78" i="173"/>
  <c r="D78" i="173" s="1"/>
  <c r="F79" i="175" l="1"/>
  <c r="D79" i="175" s="1"/>
  <c r="G79" i="175" s="1"/>
  <c r="G78" i="173"/>
  <c r="D79" i="173"/>
  <c r="F79" i="173"/>
  <c r="F80" i="175" l="1"/>
  <c r="D80" i="175" s="1"/>
  <c r="G80" i="175" s="1"/>
  <c r="G79" i="173"/>
  <c r="F86" i="173"/>
  <c r="G86" i="173" s="1"/>
  <c r="F90" i="173"/>
  <c r="G90" i="173" s="1"/>
  <c r="F87" i="173"/>
  <c r="G87" i="173" s="1"/>
  <c r="F84" i="173"/>
  <c r="G84" i="173" s="1"/>
  <c r="F81" i="173"/>
  <c r="G81" i="173" s="1"/>
  <c r="F80" i="173"/>
  <c r="G80" i="173" s="1"/>
  <c r="F83" i="173"/>
  <c r="G83" i="173" s="1"/>
  <c r="F88" i="173"/>
  <c r="G88" i="173" s="1"/>
  <c r="F85" i="173"/>
  <c r="G85" i="173" s="1"/>
  <c r="F91" i="173"/>
  <c r="F82" i="173"/>
  <c r="G82" i="173" s="1"/>
  <c r="F89" i="173"/>
  <c r="G89" i="173" s="1"/>
  <c r="D92" i="173"/>
  <c r="F81" i="175" l="1"/>
  <c r="G91" i="173"/>
  <c r="G92" i="173" s="1"/>
  <c r="F18" i="173" s="1"/>
  <c r="F92" i="173"/>
  <c r="D81" i="175" l="1"/>
  <c r="G81" i="175" s="1"/>
  <c r="H18" i="173"/>
  <c r="F20" i="173"/>
  <c r="G20" i="173" s="1"/>
  <c r="G18" i="173"/>
  <c r="F82" i="175" l="1"/>
  <c r="D82" i="175" l="1"/>
  <c r="G82" i="175" s="1"/>
  <c r="F83" i="175" l="1"/>
  <c r="D83" i="175" l="1"/>
  <c r="G83" i="175" s="1"/>
  <c r="F84" i="175" l="1"/>
  <c r="D84" i="175" l="1"/>
  <c r="G84" i="175" s="1"/>
  <c r="F85" i="175" l="1"/>
  <c r="D85" i="175" l="1"/>
  <c r="F86" i="175" s="1"/>
  <c r="G85" i="175" l="1"/>
  <c r="D86" i="175"/>
  <c r="F87" i="175" s="1"/>
  <c r="G86" i="175" l="1"/>
  <c r="D87" i="175"/>
  <c r="F88" i="175" s="1"/>
  <c r="G87" i="175" l="1"/>
  <c r="D88" i="175"/>
  <c r="F89" i="175" s="1"/>
  <c r="D89" i="175" l="1"/>
  <c r="F90" i="175" s="1"/>
  <c r="G88" i="175"/>
  <c r="G89" i="175" l="1"/>
  <c r="D90" i="175"/>
  <c r="D91" i="175" l="1"/>
  <c r="F91" i="175"/>
  <c r="F92" i="175" s="1"/>
  <c r="G90" i="175"/>
  <c r="G91" i="175" l="1"/>
  <c r="G92" i="175" s="1"/>
  <c r="F18" i="175" s="1"/>
  <c r="D92" i="175"/>
  <c r="F20" i="175" l="1"/>
  <c r="G20" i="175" s="1"/>
  <c r="H18" i="175"/>
  <c r="G18" i="175"/>
  <c r="AA16" i="164"/>
  <c r="AA17" i="164"/>
  <c r="AA18" i="164"/>
  <c r="AA19" i="164"/>
  <c r="AA20" i="164"/>
  <c r="AA21" i="164"/>
  <c r="AA22" i="164"/>
  <c r="AA23" i="164"/>
  <c r="AA24" i="164"/>
  <c r="AA25" i="164"/>
  <c r="AA26" i="164"/>
  <c r="AA27" i="164"/>
  <c r="AA28" i="164"/>
  <c r="AA29" i="164"/>
  <c r="AA30" i="164"/>
  <c r="AA31" i="164"/>
  <c r="AA32" i="164"/>
  <c r="AA33" i="164"/>
  <c r="AA15" i="164"/>
  <c r="H3" i="175" l="1"/>
  <c r="H3" i="186"/>
  <c r="AA9" i="164"/>
  <c r="AA10" i="164"/>
  <c r="AA11" i="164"/>
  <c r="AA12" i="164"/>
  <c r="AA13" i="164"/>
  <c r="AA14" i="164"/>
  <c r="AA38" i="164"/>
  <c r="AA39" i="164"/>
  <c r="AA40" i="164"/>
  <c r="AA41" i="164"/>
  <c r="AA42" i="164"/>
  <c r="AA43" i="164"/>
  <c r="AA44" i="164"/>
  <c r="AA45" i="164"/>
  <c r="E38" i="186" l="1"/>
  <c r="E32" i="186"/>
  <c r="E39" i="186"/>
  <c r="E33" i="186"/>
  <c r="E36" i="186"/>
  <c r="E40" i="186"/>
  <c r="E30" i="186"/>
  <c r="E37" i="186"/>
  <c r="E35" i="186"/>
  <c r="E29" i="186"/>
  <c r="E34" i="186"/>
  <c r="E31" i="186"/>
  <c r="G2" i="164"/>
  <c r="D29" i="186" l="1"/>
  <c r="E89" i="186"/>
  <c r="H3" i="173"/>
  <c r="G29" i="186" l="1"/>
  <c r="F30" i="186"/>
  <c r="D30" i="186" s="1"/>
  <c r="G30" i="186" s="1"/>
  <c r="E7" i="171"/>
  <c r="E8" i="171"/>
  <c r="F31" i="186" l="1"/>
  <c r="D31" i="186" s="1"/>
  <c r="E21" i="171"/>
  <c r="E19" i="171"/>
  <c r="G31" i="186" l="1"/>
  <c r="F32" i="186"/>
  <c r="D32" i="186" s="1"/>
  <c r="Q7" i="171"/>
  <c r="G32" i="186" l="1"/>
  <c r="F33" i="186"/>
  <c r="D33" i="186" s="1"/>
  <c r="P8" i="171"/>
  <c r="O8" i="171"/>
  <c r="N8" i="171"/>
  <c r="M8" i="171"/>
  <c r="L8" i="171"/>
  <c r="K8" i="171"/>
  <c r="G33" i="186" l="1"/>
  <c r="F34" i="186"/>
  <c r="D34" i="186" s="1"/>
  <c r="F35" i="186" s="1"/>
  <c r="D35" i="186" s="1"/>
  <c r="G35" i="186" s="1"/>
  <c r="D8" i="171"/>
  <c r="F8" i="171"/>
  <c r="I8" i="171"/>
  <c r="H8" i="171"/>
  <c r="G8" i="171"/>
  <c r="J8" i="171"/>
  <c r="F36" i="186" l="1"/>
  <c r="D36" i="186" s="1"/>
  <c r="G36" i="186" s="1"/>
  <c r="G34" i="186"/>
  <c r="F10" i="171"/>
  <c r="F9" i="171"/>
  <c r="F7" i="171"/>
  <c r="F37" i="186" l="1"/>
  <c r="D37" i="186" s="1"/>
  <c r="G37" i="186" s="1"/>
  <c r="E9" i="171"/>
  <c r="D9" i="171"/>
  <c r="F38" i="186" l="1"/>
  <c r="D38" i="186" s="1"/>
  <c r="B9" i="171"/>
  <c r="G38" i="186" l="1"/>
  <c r="F39" i="186"/>
  <c r="D39" i="186" s="1"/>
  <c r="G39" i="186" s="1"/>
  <c r="P9" i="17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F40" i="186" l="1"/>
  <c r="D40" i="186" s="1"/>
  <c r="G40" i="186" s="1"/>
  <c r="B10" i="171"/>
  <c r="D7" i="171"/>
  <c r="F41" i="186" l="1"/>
  <c r="D41" i="186" s="1"/>
  <c r="G41" i="186" s="1"/>
  <c r="J9" i="171"/>
  <c r="I9" i="171"/>
  <c r="H9" i="171"/>
  <c r="G9" i="171"/>
  <c r="J7" i="171"/>
  <c r="H7" i="171"/>
  <c r="I7" i="171"/>
  <c r="K10" i="171"/>
  <c r="G10" i="171"/>
  <c r="I10" i="171"/>
  <c r="J10" i="171"/>
  <c r="H10" i="171"/>
  <c r="F42" i="186" l="1"/>
  <c r="D42" i="186" s="1"/>
  <c r="G42" i="186" s="1"/>
  <c r="G7" i="171"/>
  <c r="F43" i="186" l="1"/>
  <c r="D43" i="186" s="1"/>
  <c r="G43" i="186" s="1"/>
  <c r="C31" i="164"/>
  <c r="C32" i="164" s="1"/>
  <c r="C33" i="164" s="1"/>
  <c r="C34" i="164" s="1"/>
  <c r="C35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F44" i="186" l="1"/>
  <c r="D44" i="186" s="1"/>
  <c r="E2" i="164"/>
  <c r="C23" i="16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" i="164"/>
  <c r="G3" i="164"/>
  <c r="K3" i="164"/>
  <c r="M3" i="164" s="1" a="1"/>
  <c r="N3" i="164" s="1"/>
  <c r="B5" i="164"/>
  <c r="G5" i="164"/>
  <c r="H5" i="164"/>
  <c r="B7" i="164"/>
  <c r="C7" i="164"/>
  <c r="D7" i="164"/>
  <c r="E7" i="164"/>
  <c r="F7" i="164"/>
  <c r="G7" i="164" s="1"/>
  <c r="M7" i="164"/>
  <c r="B9" i="164"/>
  <c r="C9" i="164"/>
  <c r="D9" i="164"/>
  <c r="E9" i="164"/>
  <c r="F9" i="164"/>
  <c r="E14" i="164" s="1"/>
  <c r="M9" i="164"/>
  <c r="B11" i="164"/>
  <c r="C11" i="164"/>
  <c r="D11" i="164"/>
  <c r="E11" i="164"/>
  <c r="F11" i="164"/>
  <c r="M11" i="164"/>
  <c r="B13" i="164"/>
  <c r="C13" i="164"/>
  <c r="D13" i="164"/>
  <c r="E13" i="164"/>
  <c r="F13" i="164"/>
  <c r="B16" i="164"/>
  <c r="C16" i="164"/>
  <c r="D16" i="164"/>
  <c r="E16" i="164"/>
  <c r="B18" i="164"/>
  <c r="C18" i="164"/>
  <c r="D18" i="164"/>
  <c r="E18" i="164"/>
  <c r="B20" i="164"/>
  <c r="C20" i="164"/>
  <c r="D20" i="164"/>
  <c r="E20" i="164"/>
  <c r="B22" i="164"/>
  <c r="C22" i="164"/>
  <c r="D22" i="164"/>
  <c r="E22" i="164"/>
  <c r="F22" i="164"/>
  <c r="G22" i="164"/>
  <c r="H22" i="164"/>
  <c r="I22" i="164"/>
  <c r="A23" i="164"/>
  <c r="A24" i="164"/>
  <c r="A25" i="164"/>
  <c r="A26" i="164"/>
  <c r="B29" i="164"/>
  <c r="B30" i="164"/>
  <c r="D30" i="164"/>
  <c r="E30" i="164"/>
  <c r="F30" i="164"/>
  <c r="G30" i="164"/>
  <c r="G44" i="186" l="1"/>
  <c r="F45" i="186"/>
  <c r="D45" i="186" s="1"/>
  <c r="F26" i="161"/>
  <c r="G25" i="161"/>
  <c r="G24" i="161"/>
  <c r="G23" i="161"/>
  <c r="H3" i="164"/>
  <c r="E3" i="164"/>
  <c r="E15" i="164" s="1"/>
  <c r="N11" i="164"/>
  <c r="N9" i="164"/>
  <c r="T3" i="164"/>
  <c r="T9" i="164" s="1"/>
  <c r="N13" i="164"/>
  <c r="N5" i="164"/>
  <c r="Q3" i="164"/>
  <c r="S3" i="164"/>
  <c r="P3" i="164"/>
  <c r="U3" i="164"/>
  <c r="O3" i="164"/>
  <c r="N7" i="164"/>
  <c r="M3" i="164"/>
  <c r="R3" i="164"/>
  <c r="V3" i="164"/>
  <c r="G45" i="186" l="1"/>
  <c r="F46" i="186"/>
  <c r="D46" i="186" s="1"/>
  <c r="G46" i="186" s="1"/>
  <c r="G16" i="164"/>
  <c r="F32" i="164"/>
  <c r="E33" i="164"/>
  <c r="E88" i="164"/>
  <c r="E84" i="164"/>
  <c r="E80" i="164"/>
  <c r="E76" i="164"/>
  <c r="E72" i="164"/>
  <c r="E68" i="164"/>
  <c r="E64" i="164"/>
  <c r="E60" i="164"/>
  <c r="E56" i="164"/>
  <c r="E52" i="164"/>
  <c r="E48" i="164"/>
  <c r="E44" i="164"/>
  <c r="E40" i="164"/>
  <c r="E36" i="164"/>
  <c r="E32" i="164"/>
  <c r="E89" i="164"/>
  <c r="E85" i="164"/>
  <c r="E81" i="164"/>
  <c r="E77" i="164"/>
  <c r="E73" i="164"/>
  <c r="E69" i="164"/>
  <c r="E65" i="164"/>
  <c r="E61" i="164"/>
  <c r="E57" i="164"/>
  <c r="E53" i="164"/>
  <c r="E49" i="164"/>
  <c r="E45" i="164"/>
  <c r="E41" i="164"/>
  <c r="E37" i="164"/>
  <c r="E90" i="164"/>
  <c r="E86" i="164"/>
  <c r="E82" i="164"/>
  <c r="E78" i="164"/>
  <c r="E74" i="164"/>
  <c r="E70" i="164"/>
  <c r="E66" i="164"/>
  <c r="E62" i="164"/>
  <c r="E58" i="164"/>
  <c r="E54" i="164"/>
  <c r="E50" i="164"/>
  <c r="E46" i="164"/>
  <c r="E42" i="164"/>
  <c r="E38" i="164"/>
  <c r="E34" i="164"/>
  <c r="E91" i="164"/>
  <c r="E87" i="164"/>
  <c r="E83" i="164"/>
  <c r="E79" i="164"/>
  <c r="E75" i="164"/>
  <c r="E71" i="164"/>
  <c r="E67" i="164"/>
  <c r="E63" i="164"/>
  <c r="E59" i="164"/>
  <c r="E55" i="164"/>
  <c r="E51" i="164"/>
  <c r="E47" i="164"/>
  <c r="E43" i="164"/>
  <c r="E39" i="164"/>
  <c r="E35" i="164"/>
  <c r="T7" i="164"/>
  <c r="G31" i="164"/>
  <c r="N15" i="164"/>
  <c r="N20" i="164" s="1"/>
  <c r="T13" i="164"/>
  <c r="F3" i="164"/>
  <c r="T5" i="164"/>
  <c r="T15" i="164" s="1"/>
  <c r="T11" i="164"/>
  <c r="R7" i="164"/>
  <c r="R9" i="164"/>
  <c r="R11" i="164"/>
  <c r="R13" i="164"/>
  <c r="R5" i="164"/>
  <c r="O9" i="164"/>
  <c r="O7" i="164"/>
  <c r="O13" i="164"/>
  <c r="O11" i="164"/>
  <c r="O5" i="164"/>
  <c r="P7" i="164"/>
  <c r="P11" i="164"/>
  <c r="P9" i="164"/>
  <c r="P5" i="164"/>
  <c r="P13" i="164"/>
  <c r="Q5" i="164"/>
  <c r="Q13" i="164"/>
  <c r="Q7" i="164"/>
  <c r="Q11" i="164"/>
  <c r="Q9" i="164"/>
  <c r="V9" i="164"/>
  <c r="V13" i="164"/>
  <c r="V11" i="164"/>
  <c r="V7" i="164"/>
  <c r="V5" i="164"/>
  <c r="M5" i="164"/>
  <c r="M15" i="164" s="1"/>
  <c r="M13" i="164"/>
  <c r="U13" i="164"/>
  <c r="U11" i="164"/>
  <c r="U9" i="164"/>
  <c r="U7" i="164"/>
  <c r="U5" i="164"/>
  <c r="S11" i="164"/>
  <c r="S9" i="164"/>
  <c r="S5" i="164"/>
  <c r="S13" i="164"/>
  <c r="S7" i="164"/>
  <c r="F47" i="186" l="1"/>
  <c r="D47" i="186" s="1"/>
  <c r="G47" i="186" s="1"/>
  <c r="V15" i="164"/>
  <c r="V20" i="164" s="1"/>
  <c r="V16" i="164" s="1"/>
  <c r="V18" i="164" s="1"/>
  <c r="U15" i="164"/>
  <c r="U20" i="164" s="1"/>
  <c r="U16" i="164" s="1"/>
  <c r="U18" i="164" s="1"/>
  <c r="D32" i="164"/>
  <c r="T20" i="164"/>
  <c r="T16" i="164" s="1"/>
  <c r="T18" i="164" s="1"/>
  <c r="O15" i="164"/>
  <c r="O20" i="164" s="1"/>
  <c r="E92" i="164"/>
  <c r="S15" i="164"/>
  <c r="S20" i="164" s="1"/>
  <c r="S16" i="164" s="1"/>
  <c r="S18" i="164" s="1"/>
  <c r="M20" i="164"/>
  <c r="D23" i="164" s="1"/>
  <c r="I23" i="164" s="1"/>
  <c r="R15" i="164"/>
  <c r="R20" i="164" s="1"/>
  <c r="R16" i="164" s="1"/>
  <c r="R18" i="164" s="1"/>
  <c r="D24" i="164"/>
  <c r="I24" i="164" s="1"/>
  <c r="N16" i="164"/>
  <c r="Q15" i="164"/>
  <c r="Q20" i="164" s="1"/>
  <c r="Q16" i="164" s="1"/>
  <c r="Q18" i="164" s="1"/>
  <c r="P15" i="164"/>
  <c r="P20" i="164" s="1"/>
  <c r="F48" i="186" l="1"/>
  <c r="D48" i="186" s="1"/>
  <c r="G48" i="186" s="1"/>
  <c r="F33" i="164"/>
  <c r="D33" i="164" s="1"/>
  <c r="G33" i="164" s="1"/>
  <c r="G32" i="164"/>
  <c r="M16" i="164"/>
  <c r="E23" i="164" s="1"/>
  <c r="H16" i="164"/>
  <c r="D26" i="164"/>
  <c r="I26" i="164" s="1"/>
  <c r="P16" i="164"/>
  <c r="N18" i="164"/>
  <c r="F24" i="164" s="1"/>
  <c r="E24" i="164"/>
  <c r="D25" i="164"/>
  <c r="I25" i="164" s="1"/>
  <c r="O16" i="164"/>
  <c r="F49" i="186" l="1"/>
  <c r="D49" i="186" s="1"/>
  <c r="F34" i="164"/>
  <c r="D34" i="164" s="1"/>
  <c r="M18" i="164"/>
  <c r="F23" i="164" s="1"/>
  <c r="G23" i="164"/>
  <c r="H23" i="164"/>
  <c r="O18" i="164"/>
  <c r="F25" i="164" s="1"/>
  <c r="E25" i="164"/>
  <c r="H24" i="164"/>
  <c r="G24" i="164"/>
  <c r="P18" i="164"/>
  <c r="F26" i="164" s="1"/>
  <c r="E26" i="164"/>
  <c r="G49" i="186" l="1"/>
  <c r="F50" i="186"/>
  <c r="D50" i="186" s="1"/>
  <c r="F35" i="164"/>
  <c r="D35" i="164" s="1"/>
  <c r="G34" i="164"/>
  <c r="G26" i="164"/>
  <c r="H26" i="164"/>
  <c r="H25" i="164"/>
  <c r="G25" i="164"/>
  <c r="G50" i="186" l="1"/>
  <c r="F51" i="186"/>
  <c r="D51" i="186" s="1"/>
  <c r="G51" i="186" s="1"/>
  <c r="G35" i="164"/>
  <c r="F36" i="164"/>
  <c r="D36" i="164" s="1"/>
  <c r="F52" i="186" l="1"/>
  <c r="D52" i="186" s="1"/>
  <c r="G52" i="186" s="1"/>
  <c r="F37" i="164"/>
  <c r="D37" i="164" s="1"/>
  <c r="G36" i="164"/>
  <c r="F53" i="186" l="1"/>
  <c r="D53" i="186" s="1"/>
  <c r="F38" i="164"/>
  <c r="G37" i="164"/>
  <c r="G53" i="186" l="1"/>
  <c r="F54" i="186"/>
  <c r="D54" i="186" s="1"/>
  <c r="G54" i="186" s="1"/>
  <c r="D38" i="164"/>
  <c r="F55" i="186" l="1"/>
  <c r="D55" i="186" s="1"/>
  <c r="G55" i="186" s="1"/>
  <c r="F39" i="164"/>
  <c r="G38" i="164"/>
  <c r="F56" i="186" l="1"/>
  <c r="D56" i="186" s="1"/>
  <c r="D39" i="164"/>
  <c r="G56" i="186" l="1"/>
  <c r="F57" i="186"/>
  <c r="D57" i="186" s="1"/>
  <c r="G57" i="186" s="1"/>
  <c r="F40" i="164"/>
  <c r="D40" i="164" s="1"/>
  <c r="F41" i="164" s="1"/>
  <c r="G39" i="164"/>
  <c r="F58" i="186" l="1"/>
  <c r="D58" i="186" s="1"/>
  <c r="G58" i="186" s="1"/>
  <c r="G40" i="164"/>
  <c r="D41" i="164"/>
  <c r="F42" i="164" s="1"/>
  <c r="F59" i="186" l="1"/>
  <c r="D59" i="186" s="1"/>
  <c r="G59" i="186" s="1"/>
  <c r="D42" i="164"/>
  <c r="F43" i="164" s="1"/>
  <c r="G41" i="164"/>
  <c r="F60" i="186" l="1"/>
  <c r="D60" i="186" s="1"/>
  <c r="D43" i="164"/>
  <c r="F44" i="164" s="1"/>
  <c r="G42" i="164"/>
  <c r="G60" i="186" l="1"/>
  <c r="F61" i="186"/>
  <c r="D61" i="186" s="1"/>
  <c r="G61" i="186" s="1"/>
  <c r="G43" i="164"/>
  <c r="D44" i="164"/>
  <c r="F45" i="164" s="1"/>
  <c r="F62" i="186" l="1"/>
  <c r="D62" i="186" s="1"/>
  <c r="G62" i="186" s="1"/>
  <c r="G44" i="164"/>
  <c r="D45" i="164"/>
  <c r="F46" i="164" s="1"/>
  <c r="F63" i="186" l="1"/>
  <c r="D63" i="186" s="1"/>
  <c r="D46" i="164"/>
  <c r="F47" i="164" s="1"/>
  <c r="G45" i="164"/>
  <c r="G63" i="186" l="1"/>
  <c r="F64" i="186"/>
  <c r="D64" i="186" s="1"/>
  <c r="G64" i="186" s="1"/>
  <c r="D47" i="164"/>
  <c r="F48" i="164" s="1"/>
  <c r="G46" i="164"/>
  <c r="F65" i="186" l="1"/>
  <c r="D65" i="186" s="1"/>
  <c r="G65" i="186" s="1"/>
  <c r="D48" i="164"/>
  <c r="F49" i="164" s="1"/>
  <c r="G47" i="164"/>
  <c r="F66" i="186" l="1"/>
  <c r="D66" i="186" s="1"/>
  <c r="D49" i="164"/>
  <c r="F50" i="164" s="1"/>
  <c r="G48" i="164"/>
  <c r="G66" i="186" l="1"/>
  <c r="F67" i="186"/>
  <c r="D67" i="186" s="1"/>
  <c r="G67" i="186" s="1"/>
  <c r="D50" i="164"/>
  <c r="F51" i="164" s="1"/>
  <c r="G49" i="164"/>
  <c r="F68" i="186" l="1"/>
  <c r="D68" i="186" s="1"/>
  <c r="F69" i="186" s="1"/>
  <c r="D69" i="186" s="1"/>
  <c r="G69" i="186" s="1"/>
  <c r="D51" i="164"/>
  <c r="F52" i="164" s="1"/>
  <c r="G50" i="164"/>
  <c r="G68" i="186" l="1"/>
  <c r="F70" i="186"/>
  <c r="D70" i="186" s="1"/>
  <c r="G70" i="186" s="1"/>
  <c r="D52" i="164"/>
  <c r="F53" i="164" s="1"/>
  <c r="G51" i="164"/>
  <c r="F71" i="186" l="1"/>
  <c r="D71" i="186" s="1"/>
  <c r="G71" i="186" s="1"/>
  <c r="F72" i="186"/>
  <c r="D72" i="186" s="1"/>
  <c r="D53" i="164"/>
  <c r="F54" i="164" s="1"/>
  <c r="G52" i="164"/>
  <c r="G72" i="186" l="1"/>
  <c r="F73" i="186"/>
  <c r="D73" i="186" s="1"/>
  <c r="D54" i="164"/>
  <c r="F55" i="164" s="1"/>
  <c r="G53" i="164"/>
  <c r="G73" i="186" l="1"/>
  <c r="F74" i="186"/>
  <c r="D74" i="186" s="1"/>
  <c r="D55" i="164"/>
  <c r="F56" i="164" s="1"/>
  <c r="G54" i="164"/>
  <c r="G74" i="186" l="1"/>
  <c r="F75" i="186"/>
  <c r="D75" i="186" s="1"/>
  <c r="D56" i="164"/>
  <c r="F57" i="164" s="1"/>
  <c r="G55" i="164"/>
  <c r="G75" i="186" l="1"/>
  <c r="F76" i="186"/>
  <c r="D76" i="186" s="1"/>
  <c r="D57" i="164"/>
  <c r="F58" i="164" s="1"/>
  <c r="G56" i="164"/>
  <c r="G76" i="186" l="1"/>
  <c r="F77" i="186"/>
  <c r="D77" i="186" s="1"/>
  <c r="D58" i="164"/>
  <c r="F59" i="164" s="1"/>
  <c r="G57" i="164"/>
  <c r="G77" i="186" l="1"/>
  <c r="F78" i="186"/>
  <c r="D78" i="186" s="1"/>
  <c r="D59" i="164"/>
  <c r="F60" i="164" s="1"/>
  <c r="G58" i="164"/>
  <c r="G78" i="186" l="1"/>
  <c r="F79" i="186"/>
  <c r="D79" i="186" s="1"/>
  <c r="D60" i="164"/>
  <c r="F61" i="164" s="1"/>
  <c r="G59" i="164"/>
  <c r="G79" i="186" l="1"/>
  <c r="F80" i="186"/>
  <c r="D80" i="186" s="1"/>
  <c r="D61" i="164"/>
  <c r="F62" i="164" s="1"/>
  <c r="G60" i="164"/>
  <c r="G80" i="186" l="1"/>
  <c r="F81" i="186"/>
  <c r="D81" i="186" s="1"/>
  <c r="D62" i="164"/>
  <c r="F63" i="164" s="1"/>
  <c r="G61" i="164"/>
  <c r="G81" i="186" l="1"/>
  <c r="F82" i="186"/>
  <c r="D82" i="186" s="1"/>
  <c r="D63" i="164"/>
  <c r="F64" i="164" s="1"/>
  <c r="G62" i="164"/>
  <c r="G82" i="186" l="1"/>
  <c r="F83" i="186"/>
  <c r="D83" i="186" s="1"/>
  <c r="D64" i="164"/>
  <c r="F65" i="164" s="1"/>
  <c r="G63" i="164"/>
  <c r="G83" i="186" l="1"/>
  <c r="F84" i="186"/>
  <c r="D84" i="186" s="1"/>
  <c r="D65" i="164"/>
  <c r="F66" i="164" s="1"/>
  <c r="G64" i="164"/>
  <c r="G84" i="186" l="1"/>
  <c r="F85" i="186"/>
  <c r="D85" i="186" s="1"/>
  <c r="D66" i="164"/>
  <c r="F67" i="164" s="1"/>
  <c r="G65" i="164"/>
  <c r="G85" i="186" l="1"/>
  <c r="F86" i="186"/>
  <c r="D86" i="186" s="1"/>
  <c r="D67" i="164"/>
  <c r="F68" i="164" s="1"/>
  <c r="G66" i="164"/>
  <c r="G86" i="186" l="1"/>
  <c r="F87" i="186"/>
  <c r="D87" i="186" s="1"/>
  <c r="D68" i="164"/>
  <c r="F69" i="164" s="1"/>
  <c r="G67" i="164"/>
  <c r="G87" i="186" l="1"/>
  <c r="D89" i="186"/>
  <c r="F7" i="186" s="1"/>
  <c r="F88" i="186"/>
  <c r="D69" i="164"/>
  <c r="F70" i="164" s="1"/>
  <c r="G68" i="164"/>
  <c r="F89" i="186" l="1"/>
  <c r="G88" i="186"/>
  <c r="D70" i="164"/>
  <c r="F71" i="164" s="1"/>
  <c r="G69" i="164"/>
  <c r="F24" i="186" l="1"/>
  <c r="G89" i="186"/>
  <c r="F20" i="186" s="1"/>
  <c r="F22" i="186" s="1"/>
  <c r="D71" i="164"/>
  <c r="F72" i="164" s="1"/>
  <c r="G70" i="164"/>
  <c r="D72" i="164" l="1"/>
  <c r="F73" i="164" s="1"/>
  <c r="G71" i="164"/>
  <c r="D73" i="164" l="1"/>
  <c r="F74" i="164" s="1"/>
  <c r="G72" i="164"/>
  <c r="D74" i="164" l="1"/>
  <c r="F75" i="164" s="1"/>
  <c r="G73" i="164"/>
  <c r="D75" i="164" l="1"/>
  <c r="F76" i="164" s="1"/>
  <c r="G74" i="164"/>
  <c r="D76" i="164" l="1"/>
  <c r="F77" i="164" s="1"/>
  <c r="G75" i="164"/>
  <c r="D77" i="164" l="1"/>
  <c r="F78" i="164" s="1"/>
  <c r="G76" i="164"/>
  <c r="D78" i="164" l="1"/>
  <c r="F79" i="164" s="1"/>
  <c r="G77" i="164"/>
  <c r="D79" i="164" l="1"/>
  <c r="F80" i="164" s="1"/>
  <c r="G78" i="164"/>
  <c r="D80" i="164" l="1"/>
  <c r="F81" i="164" s="1"/>
  <c r="G79" i="164"/>
  <c r="D81" i="164" l="1"/>
  <c r="F82" i="164" s="1"/>
  <c r="G80" i="164"/>
  <c r="D82" i="164" l="1"/>
  <c r="F83" i="164" s="1"/>
  <c r="G81" i="164"/>
  <c r="D83" i="164" l="1"/>
  <c r="F84" i="164" s="1"/>
  <c r="G82" i="164"/>
  <c r="D84" i="164" l="1"/>
  <c r="F85" i="164" s="1"/>
  <c r="G83" i="164"/>
  <c r="D85" i="164" l="1"/>
  <c r="F86" i="164" s="1"/>
  <c r="G84" i="164"/>
  <c r="D86" i="164" l="1"/>
  <c r="F87" i="164" s="1"/>
  <c r="G85" i="164"/>
  <c r="D87" i="164" l="1"/>
  <c r="F88" i="164" s="1"/>
  <c r="G86" i="164"/>
  <c r="D88" i="164" l="1"/>
  <c r="F89" i="164" s="1"/>
  <c r="G87" i="164"/>
  <c r="D89" i="164" l="1"/>
  <c r="F90" i="164" s="1"/>
  <c r="G88" i="164"/>
  <c r="D90" i="164" l="1"/>
  <c r="F91" i="164" s="1"/>
  <c r="G89" i="164"/>
  <c r="F92" i="164" l="1"/>
  <c r="G90" i="164"/>
  <c r="D91" i="164"/>
  <c r="G91" i="164" l="1"/>
  <c r="G92" i="164" s="1"/>
  <c r="F18" i="164" s="1"/>
  <c r="D92" i="164"/>
  <c r="H18" i="164" l="1"/>
  <c r="G18" i="164"/>
  <c r="F20" i="164"/>
  <c r="G20" i="164" s="1"/>
  <c r="E31" i="187" l="1"/>
  <c r="E90" i="187"/>
  <c r="E86" i="187"/>
  <c r="F86" i="187" s="1"/>
  <c r="E82" i="187"/>
  <c r="F82" i="187" s="1"/>
  <c r="E78" i="187"/>
  <c r="F78" i="187" s="1"/>
  <c r="E74" i="187"/>
  <c r="F74" i="187" s="1"/>
  <c r="E70" i="187"/>
  <c r="F70" i="187" s="1"/>
  <c r="E66" i="187"/>
  <c r="F66" i="187" s="1"/>
  <c r="E62" i="187"/>
  <c r="F62" i="187" s="1"/>
  <c r="E58" i="187"/>
  <c r="F58" i="187" s="1"/>
  <c r="E54" i="187"/>
  <c r="F54" i="187" s="1"/>
  <c r="E50" i="187"/>
  <c r="F50" i="187" s="1"/>
  <c r="E89" i="187"/>
  <c r="F89" i="187" s="1"/>
  <c r="E85" i="187"/>
  <c r="F85" i="187" s="1"/>
  <c r="E81" i="187"/>
  <c r="F81" i="187" s="1"/>
  <c r="E77" i="187"/>
  <c r="F77" i="187" s="1"/>
  <c r="E73" i="187"/>
  <c r="F73" i="187" s="1"/>
  <c r="E69" i="187"/>
  <c r="F69" i="187" s="1"/>
  <c r="E65" i="187"/>
  <c r="F65" i="187" s="1"/>
  <c r="E61" i="187"/>
  <c r="F61" i="187" s="1"/>
  <c r="E57" i="187"/>
  <c r="F57" i="187" s="1"/>
  <c r="E53" i="187"/>
  <c r="F53" i="187" s="1"/>
  <c r="E49" i="187"/>
  <c r="F49" i="187" s="1"/>
  <c r="E33" i="187"/>
  <c r="F33" i="187" s="1"/>
  <c r="E88" i="187"/>
  <c r="F88" i="187" s="1"/>
  <c r="E84" i="187"/>
  <c r="F84" i="187" s="1"/>
  <c r="E80" i="187"/>
  <c r="F80" i="187" s="1"/>
  <c r="E76" i="187"/>
  <c r="F76" i="187" s="1"/>
  <c r="E72" i="187"/>
  <c r="F72" i="187" s="1"/>
  <c r="E68" i="187"/>
  <c r="F68" i="187" s="1"/>
  <c r="E64" i="187"/>
  <c r="F64" i="187" s="1"/>
  <c r="E60" i="187"/>
  <c r="F60" i="187" s="1"/>
  <c r="E56" i="187"/>
  <c r="F56" i="187" s="1"/>
  <c r="E52" i="187"/>
  <c r="F52" i="187" s="1"/>
  <c r="E32" i="187"/>
  <c r="F32" i="187" s="1"/>
  <c r="E87" i="187"/>
  <c r="F87" i="187" s="1"/>
  <c r="E83" i="187"/>
  <c r="F83" i="187" s="1"/>
  <c r="E79" i="187"/>
  <c r="F79" i="187" s="1"/>
  <c r="E75" i="187"/>
  <c r="E71" i="187"/>
  <c r="F71" i="187" s="1"/>
  <c r="E67" i="187"/>
  <c r="F67" i="187" s="1"/>
  <c r="E63" i="187"/>
  <c r="F63" i="187" s="1"/>
  <c r="E59" i="187"/>
  <c r="F59" i="187" s="1"/>
  <c r="E55" i="187"/>
  <c r="F55" i="187" s="1"/>
  <c r="E51" i="187"/>
  <c r="F51" i="187" s="1"/>
  <c r="F90" i="187"/>
  <c r="F75" i="187"/>
  <c r="F31" i="187" l="1"/>
  <c r="F8" i="187" l="1"/>
  <c r="D36" i="187" s="1"/>
  <c r="D41" i="187" l="1"/>
  <c r="D45" i="187"/>
  <c r="D43" i="187"/>
  <c r="E46" i="187"/>
  <c r="E42" i="187"/>
  <c r="E38" i="187"/>
  <c r="E34" i="187"/>
  <c r="D37" i="187"/>
  <c r="E48" i="187"/>
  <c r="E44" i="187"/>
  <c r="E40" i="187"/>
  <c r="E36" i="187"/>
  <c r="F36" i="187" s="1"/>
  <c r="D47" i="187"/>
  <c r="D39" i="187"/>
  <c r="D35" i="187"/>
  <c r="E47" i="187"/>
  <c r="D46" i="187"/>
  <c r="E43" i="187"/>
  <c r="D42" i="187"/>
  <c r="E39" i="187"/>
  <c r="D38" i="187"/>
  <c r="E35" i="187"/>
  <c r="D34" i="187"/>
  <c r="D48" i="187"/>
  <c r="E45" i="187"/>
  <c r="D44" i="187"/>
  <c r="F44" i="187" s="1"/>
  <c r="E41" i="187"/>
  <c r="F41" i="187" s="1"/>
  <c r="D40" i="187"/>
  <c r="E37" i="187"/>
  <c r="F45" i="187" l="1"/>
  <c r="F37" i="187"/>
  <c r="F46" i="187"/>
  <c r="F42" i="187"/>
  <c r="F43" i="187"/>
  <c r="F40" i="187"/>
  <c r="F48" i="187"/>
  <c r="F47" i="187"/>
  <c r="F38" i="187"/>
  <c r="F39" i="187"/>
  <c r="F34" i="187"/>
  <c r="D91" i="187"/>
  <c r="F35" i="187"/>
  <c r="E91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<sst xmlns="http://schemas.openxmlformats.org/spreadsheetml/2006/main" count="176" uniqueCount="99">
  <si>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</si>
  <si>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</si>
  <si>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</si>
  <si>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</si>
  <si>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</si>
  <si>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</si>
  <si>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</si>
  <si>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</si>
  <si>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</si>
  <si>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щом. пл.</t>
  </si>
  <si>
    <t>річна</t>
  </si>
  <si>
    <t>щом. Ком.</t>
  </si>
  <si>
    <t>РКО</t>
  </si>
  <si>
    <t>перепл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</si>
  <si>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</si>
  <si>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</si>
  <si>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</si>
  <si>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</si>
  <si>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</si>
  <si>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</si>
  <si>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</si>
  <si>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</si>
  <si>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</si>
  <si>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</si>
  <si>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</si>
  <si>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</si>
  <si>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</si>
  <si>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</si>
  <si>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</si>
  <si>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</si>
  <si>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</si>
  <si>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</si>
  <si>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сума кредиту</t>
  </si>
  <si>
    <t>Щодененний платіж</t>
  </si>
  <si>
    <t>Переплата у грн.               за весь період</t>
  </si>
  <si>
    <t>к-ть днів у місяці</t>
  </si>
  <si>
    <t>24 місяців</t>
  </si>
  <si>
    <t>18 місяців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</si>
  <si>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</si>
  <si>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</si>
  <si>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</si>
  <si>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</si>
  <si>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</si>
  <si>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</si>
  <si>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</si>
  <si>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</si>
  <si>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</si>
  <si>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</si>
  <si>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</si>
  <si>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</si>
  <si>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</si>
  <si>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</si>
  <si>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</si>
  <si>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</si>
  <si>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</si>
  <si>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</si>
  <si>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</si>
  <si>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</si>
  <si>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</si>
  <si>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</si>
  <si>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</si>
  <si>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</si>
  <si>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</si>
  <si>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</si>
  <si>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</si>
  <si>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</si>
  <si>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Пенсійний, 24 міс.</t>
  </si>
  <si>
    <t>BIG CASH, 12 міс.</t>
  </si>
  <si>
    <t>Простий, 12 міс.</t>
  </si>
  <si>
    <t>Єдиний, 12 міс. А</t>
  </si>
  <si>
    <t>Єдиний, 36 міс. D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</si>
  <si>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</si>
  <si>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</si>
  <si>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</si>
  <si>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</si>
  <si>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</si>
  <si>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</si>
  <si>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</si>
  <si>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</si>
  <si>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</si>
  <si>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</si>
  <si>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</si>
  <si>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</si>
  <si>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</si>
  <si>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</si>
  <si>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</si>
  <si>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Вигідний, 36 міс. </t>
  </si>
  <si>
    <t>max. 50000 грн.</t>
  </si>
  <si>
    <t xml:space="preserve">Вигідний, 24 міс. </t>
  </si>
  <si>
    <t xml:space="preserve">Вигідний, 18 міс. </t>
  </si>
  <si>
    <t xml:space="preserve">Вигідний, 12 міс. 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</si>
  <si>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</si>
  <si>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</si>
  <si>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</si>
  <si>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</si>
  <si>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>Мобільний СК, 36 міс.</t>
  </si>
  <si>
    <t>Мобільний СК, 24 міс.</t>
  </si>
  <si>
    <t>Мобільний СК, 12 міс.</t>
  </si>
  <si>
    <t>Мобільний СК, 60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</si>
</sst>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_-* #&quot; &quot;##0\ _ _-;\-* #&quot; &quot;##0\ _ _-;_-* &quot;-&quot;??\ _ _-;_-@_-"/>
    <numFmt numFmtId="174" formatCode="#&quot; &quot;##0_ ;\-#&quot; &quot;##0\ "/>
    <numFmt numFmtId="175" formatCode="0.0000%"/>
    <numFmt numFmtId="176" formatCode="0.000000%"/>
    <numFmt numFmtId="177" formatCode="#,##0.00&quot;₴&quot;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&quot; &quot;##0.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0" fontId="17" fillId="2" borderId="1" xfId="23" applyNumberFormat="1" applyFont="1" applyFill="1" applyBorder="1" applyAlignment="1">
      <alignment horizontal="center" vertical="center" wrapText="1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169" fontId="21" fillId="3" borderId="1" xfId="23" applyNumberFormat="1" applyFont="1" applyFill="1" applyBorder="1" applyAlignment="1">
      <alignment horizontal="center"/>
    </xf>
    <xf numFmtId="165" fontId="5" fillId="3" borderId="0" xfId="23" applyNumberFormat="1" applyFill="1"/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4" fontId="18" fillId="3" borderId="3" xfId="23" applyNumberFormat="1" applyFont="1" applyFill="1" applyBorder="1" applyAlignment="1">
      <alignment horizontal="center"/>
    </xf>
    <xf numFmtId="2" fontId="5" fillId="0" borderId="1" xfId="23" applyNumberFormat="1" applyBorder="1"/>
    <xf numFmtId="167" fontId="5" fillId="0" borderId="1" xfId="23" applyNumberFormat="1" applyBorder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1" fontId="4" fillId="3" borderId="5" xfId="23" applyNumberFormat="1" applyFont="1" applyFill="1" applyBorder="1" applyAlignment="1">
      <alignment horizontal="center" vertic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0" fontId="4" fillId="3" borderId="6" xfId="23" applyFont="1" applyFill="1" applyBorder="1"/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9" fillId="0" borderId="0" xfId="23" applyFont="1"/>
    <xf numFmtId="0" fontId="30" fillId="0" borderId="0" xfId="23" applyFont="1"/>
    <xf numFmtId="1" fontId="29" fillId="0" borderId="0" xfId="23" applyNumberFormat="1" applyFont="1"/>
    <xf numFmtId="0" fontId="31" fillId="3" borderId="0" xfId="23" applyFont="1" applyFill="1"/>
    <xf numFmtId="0" fontId="8" fillId="0" borderId="0" xfId="0" applyFont="1" applyAlignment="1">
      <alignment horizontal="left"/>
    </xf>
    <xf numFmtId="0" fontId="30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4" fontId="4" fillId="3" borderId="1" xfId="47" applyNumberFormat="1" applyFont="1" applyFill="1" applyBorder="1" applyAlignment="1" applyProtection="1">
      <alignment horizontal="center"/>
    </xf>
    <xf numFmtId="1" fontId="29" fillId="0" borderId="0" xfId="46" applyNumberFormat="1" applyFont="1" applyFill="1" applyProtection="1"/>
    <xf numFmtId="1" fontId="29" fillId="0" borderId="0" xfId="48" applyNumberFormat="1" applyFont="1" applyFill="1" applyProtection="1"/>
    <xf numFmtId="9" fontId="29" fillId="0" borderId="0" xfId="24" applyFont="1" applyFill="1" applyProtection="1"/>
    <xf numFmtId="10" fontId="29" fillId="0" borderId="0" xfId="24" applyNumberFormat="1" applyFont="1" applyFill="1" applyProtection="1"/>
    <xf numFmtId="0" fontId="21" fillId="0" borderId="0" xfId="23" applyFont="1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23" applyFont="1"/>
    <xf numFmtId="172" fontId="29" fillId="0" borderId="0" xfId="47" applyNumberFormat="1" applyFont="1" applyFill="1" applyProtection="1"/>
    <xf numFmtId="173" fontId="29" fillId="0" borderId="0" xfId="47" applyNumberFormat="1" applyFont="1" applyFill="1" applyProtection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2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4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31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31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/>
    <xf numFmtId="0" fontId="33" fillId="4" borderId="0" xfId="23" applyFont="1" applyFill="1" applyAlignment="1">
      <alignment horizontal="center"/>
    </xf>
    <xf numFmtId="10" fontId="34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168" fontId="10" fillId="2" borderId="13" xfId="23" applyNumberFormat="1" applyFont="1" applyFill="1" applyBorder="1" applyAlignment="1">
      <alignment horizontal="right" vertical="center"/>
    </xf>
    <xf numFmtId="0" fontId="36" fillId="3" borderId="0" xfId="0" applyFont="1" applyFill="1"/>
    <xf numFmtId="1" fontId="4" fillId="6" borderId="7" xfId="23" applyNumberFormat="1" applyFont="1" applyFill="1" applyBorder="1" applyAlignment="1">
      <alignment horizontal="center" vertical="center"/>
    </xf>
    <xf numFmtId="1" fontId="16" fillId="7" borderId="7" xfId="23" applyNumberFormat="1" applyFont="1" applyFill="1" applyBorder="1" applyAlignment="1" applyProtection="1">
      <alignment horizontal="center" vertical="top" wrapText="1"/>
      <protection locked="0"/>
    </xf>
    <xf numFmtId="165" fontId="17" fillId="5" borderId="8" xfId="23" applyNumberFormat="1" applyFont="1" applyFill="1" applyBorder="1" applyAlignment="1">
      <alignment horizontal="center" vertical="center" wrapText="1"/>
    </xf>
    <xf numFmtId="0" fontId="37" fillId="3" borderId="0" xfId="23" applyFont="1" applyFill="1"/>
    <xf numFmtId="2" fontId="4" fillId="0" borderId="1" xfId="23" applyNumberFormat="1" applyFont="1" applyBorder="1" applyAlignment="1">
      <alignment horizontal="center"/>
    </xf>
    <xf numFmtId="0" fontId="5" fillId="8" borderId="0" xfId="23" applyFill="1"/>
    <xf numFmtId="0" fontId="9" fillId="8" borderId="0" xfId="23" applyFont="1" applyFill="1"/>
    <xf numFmtId="0" fontId="31" fillId="4" borderId="0" xfId="23" applyFont="1" applyFill="1"/>
    <xf numFmtId="0" fontId="17" fillId="3" borderId="5" xfId="23" applyFont="1" applyFill="1" applyBorder="1" applyAlignment="1">
      <alignment horizontal="center"/>
    </xf>
    <xf numFmtId="0" fontId="35" fillId="0" borderId="0" xfId="23" applyFont="1"/>
    <xf numFmtId="168" fontId="10" fillId="2" borderId="14" xfId="23" applyNumberFormat="1" applyFont="1" applyFill="1" applyBorder="1" applyAlignment="1">
      <alignment horizontal="right" vertical="center"/>
    </xf>
    <xf numFmtId="0" fontId="5" fillId="0" borderId="38" xfId="23" applyBorder="1" applyAlignment="1">
      <alignment horizontal="center"/>
    </xf>
    <xf numFmtId="0" fontId="5" fillId="0" borderId="34" xfId="23" applyBorder="1" applyAlignment="1">
      <alignment horizontal="center"/>
    </xf>
    <xf numFmtId="0" fontId="39" fillId="3" borderId="0" xfId="0" applyFont="1" applyFill="1"/>
    <xf numFmtId="14" fontId="9" fillId="3" borderId="0" xfId="23" applyNumberFormat="1" applyFont="1" applyFill="1"/>
    <xf numFmtId="14" fontId="5" fillId="0" borderId="1" xfId="23" applyNumberFormat="1" applyBorder="1" applyAlignment="1">
      <alignment horizontal="center"/>
    </xf>
    <xf numFmtId="177" fontId="9" fillId="3" borderId="0" xfId="23" applyNumberFormat="1" applyFont="1" applyFill="1"/>
    <xf numFmtId="0" fontId="40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2" xfId="23" applyNumberFormat="1" applyBorder="1" applyAlignment="1">
      <alignment horizontal="center"/>
    </xf>
    <xf numFmtId="2" fontId="5" fillId="0" borderId="22" xfId="23" applyNumberFormat="1" applyBorder="1"/>
    <xf numFmtId="167" fontId="5" fillId="0" borderId="22" xfId="23" applyNumberFormat="1" applyBorder="1"/>
    <xf numFmtId="0" fontId="35" fillId="4" borderId="0" xfId="23" applyFont="1" applyFill="1"/>
    <xf numFmtId="0" fontId="35" fillId="4" borderId="0" xfId="23" applyFont="1" applyFill="1" applyAlignment="1">
      <alignment horizontal="right"/>
    </xf>
    <xf numFmtId="0" fontId="0" fillId="0" borderId="0" xfId="0" applyProtection="1">
      <protection hidden="1"/>
    </xf>
    <xf numFmtId="179" fontId="42" fillId="3" borderId="4" xfId="47" applyNumberFormat="1" applyFont="1" applyFill="1" applyBorder="1" applyAlignment="1" applyProtection="1">
      <alignment vertical="center"/>
      <protection hidden="1"/>
    </xf>
    <xf numFmtId="179" fontId="42" fillId="3" borderId="50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9" fontId="0" fillId="0" borderId="34" xfId="47" applyNumberFormat="1" applyFont="1" applyBorder="1" applyProtection="1">
      <protection hidden="1"/>
    </xf>
    <xf numFmtId="179" fontId="0" fillId="0" borderId="38" xfId="47" applyNumberFormat="1" applyFont="1" applyBorder="1" applyProtection="1">
      <protection hidden="1"/>
    </xf>
    <xf numFmtId="179" fontId="0" fillId="0" borderId="46" xfId="47" applyNumberFormat="1" applyFont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179" fontId="42" fillId="3" borderId="1" xfId="47" applyNumberFormat="1" applyFont="1" applyFill="1" applyBorder="1" applyAlignment="1" applyProtection="1">
      <alignment vertical="center"/>
      <protection hidden="1"/>
    </xf>
    <xf numFmtId="179" fontId="42" fillId="3" borderId="21" xfId="47" applyNumberFormat="1" applyFont="1" applyFill="1" applyBorder="1" applyAlignment="1" applyProtection="1">
      <alignment vertical="center"/>
      <protection hidden="1"/>
    </xf>
    <xf numFmtId="179" fontId="42" fillId="3" borderId="22" xfId="47" applyNumberFormat="1" applyFont="1" applyFill="1" applyBorder="1" applyAlignment="1" applyProtection="1">
      <alignment vertical="center"/>
      <protection hidden="1"/>
    </xf>
    <xf numFmtId="179" fontId="42" fillId="3" borderId="43" xfId="47" applyNumberFormat="1" applyFont="1" applyFill="1" applyBorder="1" applyAlignment="1" applyProtection="1">
      <alignment vertical="center"/>
      <protection hidden="1"/>
    </xf>
    <xf numFmtId="179" fontId="42" fillId="3" borderId="15" xfId="47" applyNumberFormat="1" applyFont="1" applyFill="1" applyBorder="1" applyAlignment="1" applyProtection="1">
      <alignment vertical="center"/>
      <protection hidden="1"/>
    </xf>
    <xf numFmtId="179" fontId="42" fillId="3" borderId="47" xfId="47" applyNumberFormat="1" applyFont="1" applyFill="1" applyBorder="1" applyAlignment="1" applyProtection="1">
      <alignment vertical="center"/>
      <protection hidden="1"/>
    </xf>
    <xf numFmtId="179" fontId="42" fillId="3" borderId="48" xfId="47" applyNumberFormat="1" applyFont="1" applyFill="1" applyBorder="1" applyAlignment="1" applyProtection="1">
      <alignment vertical="center"/>
      <protection hidden="1"/>
    </xf>
    <xf numFmtId="179" fontId="42" fillId="3" borderId="49" xfId="47" applyNumberFormat="1" applyFont="1" applyFill="1" applyBorder="1" applyAlignment="1" applyProtection="1">
      <alignment vertical="center"/>
      <protection hidden="1"/>
    </xf>
    <xf numFmtId="179" fontId="42" fillId="3" borderId="12" xfId="47" applyNumberFormat="1" applyFont="1" applyFill="1" applyBorder="1" applyAlignment="1" applyProtection="1">
      <alignment vertical="center"/>
      <protection hidden="1"/>
    </xf>
    <xf numFmtId="179" fontId="42" fillId="3" borderId="28" xfId="47" applyNumberFormat="1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179" fontId="42" fillId="3" borderId="18" xfId="47" applyNumberFormat="1" applyFont="1" applyFill="1" applyBorder="1" applyAlignment="1" applyProtection="1">
      <alignment vertical="center"/>
      <protection hidden="1"/>
    </xf>
    <xf numFmtId="179" fontId="42" fillId="3" borderId="19" xfId="47" applyNumberFormat="1" applyFont="1" applyFill="1" applyBorder="1" applyAlignment="1" applyProtection="1">
      <alignment vertical="center"/>
      <protection hidden="1"/>
    </xf>
    <xf numFmtId="179" fontId="42" fillId="3" borderId="20" xfId="47" applyNumberFormat="1" applyFont="1" applyFill="1" applyBorder="1" applyAlignment="1" applyProtection="1">
      <alignment vertical="center"/>
      <protection hidden="1"/>
    </xf>
    <xf numFmtId="179" fontId="0" fillId="0" borderId="7" xfId="47" applyNumberFormat="1" applyFont="1" applyBorder="1" applyProtection="1">
      <protection hidden="1"/>
    </xf>
    <xf numFmtId="179" fontId="42" fillId="3" borderId="52" xfId="47" applyNumberFormat="1" applyFont="1" applyFill="1" applyBorder="1" applyAlignment="1" applyProtection="1">
      <alignment vertical="center"/>
      <protection hidden="1"/>
    </xf>
    <xf numFmtId="179" fontId="42" fillId="3" borderId="44" xfId="47" applyNumberFormat="1" applyFont="1" applyFill="1" applyBorder="1" applyAlignment="1" applyProtection="1">
      <alignment vertical="center"/>
      <protection hidden="1"/>
    </xf>
    <xf numFmtId="179" fontId="42" fillId="3" borderId="37" xfId="47" applyNumberFormat="1" applyFont="1" applyFill="1" applyBorder="1" applyAlignment="1" applyProtection="1">
      <alignment vertical="center"/>
      <protection hidden="1"/>
    </xf>
    <xf numFmtId="0" fontId="42" fillId="3" borderId="25" xfId="0" applyFont="1" applyFill="1" applyBorder="1" applyAlignment="1" applyProtection="1">
      <alignment vertical="center"/>
      <protection hidden="1"/>
    </xf>
    <xf numFmtId="0" fontId="42" fillId="3" borderId="24" xfId="0" applyFont="1" applyFill="1" applyBorder="1" applyAlignment="1" applyProtection="1">
      <alignment vertical="center"/>
      <protection hidden="1"/>
    </xf>
    <xf numFmtId="0" fontId="42" fillId="3" borderId="51" xfId="0" applyFont="1" applyFill="1" applyBorder="1" applyAlignment="1" applyProtection="1">
      <alignment vertical="center"/>
      <protection hidden="1"/>
    </xf>
    <xf numFmtId="0" fontId="42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9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9" borderId="1" xfId="0" applyFill="1" applyBorder="1" applyProtection="1">
      <protection locked="0" hidden="1"/>
    </xf>
    <xf numFmtId="0" fontId="40" fillId="0" borderId="0" xfId="0" applyFont="1" applyProtection="1">
      <protection hidden="1"/>
    </xf>
    <xf numFmtId="0" fontId="29" fillId="4" borderId="0" xfId="23" applyFont="1" applyFill="1"/>
    <xf numFmtId="1" fontId="31" fillId="4" borderId="0" xfId="23" applyNumberFormat="1" applyFont="1" applyFill="1" applyAlignment="1">
      <alignment vertical="top" wrapText="1"/>
    </xf>
    <xf numFmtId="165" fontId="31" fillId="4" borderId="0" xfId="23" applyNumberFormat="1" applyFont="1" applyFill="1"/>
    <xf numFmtId="180" fontId="5" fillId="0" borderId="1" xfId="23" applyNumberFormat="1" applyBorder="1"/>
    <xf numFmtId="14" fontId="43" fillId="3" borderId="0" xfId="23" applyNumberFormat="1" applyFont="1" applyFill="1" applyAlignment="1">
      <alignment horizontal="center"/>
    </xf>
    <xf numFmtId="165" fontId="17" fillId="5" borderId="35" xfId="23" applyNumberFormat="1" applyFont="1" applyFill="1" applyBorder="1" applyAlignment="1">
      <alignment horizontal="center" vertical="center" wrapText="1"/>
    </xf>
    <xf numFmtId="14" fontId="30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6" xfId="23" applyBorder="1" applyAlignment="1">
      <alignment horizontal="center"/>
    </xf>
    <xf numFmtId="14" fontId="5" fillId="0" borderId="19" xfId="23" applyNumberFormat="1" applyBorder="1" applyAlignment="1">
      <alignment horizontal="center"/>
    </xf>
    <xf numFmtId="2" fontId="5" fillId="0" borderId="22" xfId="23" applyNumberFormat="1" applyBorder="1" applyAlignment="1">
      <alignment horizontal="center"/>
    </xf>
    <xf numFmtId="167" fontId="5" fillId="0" borderId="22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180" fontId="5" fillId="0" borderId="1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180" fontId="5" fillId="0" borderId="19" xfId="23" applyNumberFormat="1" applyBorder="1" applyAlignment="1">
      <alignment horizontal="center"/>
    </xf>
    <xf numFmtId="0" fontId="5" fillId="10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53" xfId="23" applyNumberFormat="1" applyFont="1" applyBorder="1"/>
    <xf numFmtId="10" fontId="4" fillId="0" borderId="0" xfId="23" applyNumberFormat="1" applyFont="1"/>
    <xf numFmtId="179" fontId="46" fillId="11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21" xfId="23" applyNumberFormat="1" applyBorder="1" applyAlignment="1">
      <alignment horizontal="center"/>
    </xf>
    <xf numFmtId="2" fontId="5" fillId="0" borderId="15" xfId="23" applyNumberFormat="1" applyBorder="1" applyAlignment="1">
      <alignment horizontal="center"/>
    </xf>
    <xf numFmtId="2" fontId="5" fillId="0" borderId="54" xfId="23" applyNumberFormat="1" applyBorder="1" applyAlignment="1">
      <alignment horizontal="center"/>
    </xf>
    <xf numFmtId="167" fontId="5" fillId="0" borderId="48" xfId="23" applyNumberFormat="1" applyBorder="1" applyAlignment="1">
      <alignment horizontal="center"/>
    </xf>
    <xf numFmtId="14" fontId="5" fillId="0" borderId="55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5" xfId="23" applyBorder="1" applyAlignment="1">
      <alignment horizontal="center"/>
    </xf>
    <xf numFmtId="0" fontId="5" fillId="0" borderId="24" xfId="23" applyBorder="1" applyAlignment="1">
      <alignment horizontal="center"/>
    </xf>
    <xf numFmtId="0" fontId="5" fillId="0" borderId="56" xfId="23" applyBorder="1" applyAlignment="1">
      <alignment horizontal="center"/>
    </xf>
    <xf numFmtId="14" fontId="31" fillId="3" borderId="0" xfId="23" applyNumberFormat="1" applyFont="1" applyFill="1"/>
    <xf numFmtId="0" fontId="0" fillId="9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7" xfId="0" applyFont="1" applyBorder="1" applyAlignment="1">
      <alignment vertical="center"/>
    </xf>
    <xf numFmtId="0" fontId="0" fillId="12" borderId="1" xfId="0" applyFill="1" applyBorder="1" applyProtection="1">
      <protection hidden="1"/>
    </xf>
    <xf numFmtId="10" fontId="0" fillId="12" borderId="1" xfId="24" applyNumberFormat="1" applyFont="1" applyFill="1" applyBorder="1" applyProtection="1">
      <protection hidden="1"/>
    </xf>
    <xf numFmtId="4" fontId="3" fillId="12" borderId="1" xfId="2" applyNumberFormat="1" applyFill="1" applyBorder="1" applyAlignment="1" applyProtection="1">
      <alignment horizontal="center"/>
      <protection hidden="1"/>
    </xf>
    <xf numFmtId="175" fontId="3" fillId="12" borderId="1" xfId="49" applyNumberFormat="1" applyFont="1" applyFill="1" applyBorder="1" applyAlignment="1">
      <alignment horizontal="center"/>
    </xf>
    <xf numFmtId="176" fontId="3" fillId="12" borderId="1" xfId="24" applyNumberFormat="1" applyFont="1" applyFill="1" applyBorder="1" applyAlignment="1" applyProtection="1">
      <alignment horizontal="right"/>
      <protection hidden="1"/>
    </xf>
    <xf numFmtId="0" fontId="0" fillId="13" borderId="1" xfId="0" applyFill="1" applyBorder="1" applyProtection="1">
      <protection hidden="1"/>
    </xf>
    <xf numFmtId="10" fontId="0" fillId="13" borderId="1" xfId="24" applyNumberFormat="1" applyFont="1" applyFill="1" applyBorder="1" applyProtection="1">
      <protection hidden="1"/>
    </xf>
    <xf numFmtId="4" fontId="3" fillId="13" borderId="1" xfId="2" applyNumberFormat="1" applyFill="1" applyBorder="1" applyAlignment="1" applyProtection="1">
      <alignment horizontal="center"/>
      <protection hidden="1"/>
    </xf>
    <xf numFmtId="175" fontId="3" fillId="13" borderId="1" xfId="49" applyNumberFormat="1" applyFont="1" applyFill="1" applyBorder="1" applyAlignment="1">
      <alignment horizontal="center"/>
    </xf>
    <xf numFmtId="176" fontId="3" fillId="13" borderId="1" xfId="24" applyNumberFormat="1" applyFont="1" applyFill="1" applyBorder="1" applyAlignment="1" applyProtection="1">
      <alignment horizontal="right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43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51" xfId="0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1" fillId="6" borderId="35" xfId="0" applyFont="1" applyFill="1" applyBorder="1" applyAlignment="1" applyProtection="1">
      <alignment horizontal="center" vertical="center"/>
      <protection hidden="1"/>
    </xf>
    <xf numFmtId="0" fontId="41" fillId="6" borderId="36" xfId="0" applyFont="1" applyFill="1" applyBorder="1" applyAlignment="1" applyProtection="1">
      <alignment horizontal="center" vertical="center"/>
      <protection hidden="1"/>
    </xf>
    <xf numFmtId="0" fontId="41" fillId="6" borderId="37" xfId="0" applyFont="1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10" fillId="2" borderId="35" xfId="23" applyFont="1" applyFill="1" applyBorder="1" applyAlignment="1">
      <alignment horizontal="left" vertical="center"/>
    </xf>
    <xf numFmtId="0" fontId="10" fillId="2" borderId="42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right" vertical="center"/>
    </xf>
    <xf numFmtId="168" fontId="10" fillId="2" borderId="37" xfId="23" applyNumberFormat="1" applyFont="1" applyFill="1" applyBorder="1" applyAlignment="1">
      <alignment horizontal="right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17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4" fontId="17" fillId="0" borderId="41" xfId="23" applyNumberFormat="1" applyFont="1" applyBorder="1" applyAlignment="1">
      <alignment horizontal="center"/>
    </xf>
    <xf numFmtId="4" fontId="17" fillId="0" borderId="28" xfId="23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5" fontId="17" fillId="5" borderId="35" xfId="23" applyNumberFormat="1" applyFont="1" applyFill="1" applyBorder="1" applyAlignment="1">
      <alignment horizontal="center" vertical="center" wrapText="1"/>
    </xf>
    <xf numFmtId="165" fontId="17" fillId="5" borderId="37" xfId="23" applyNumberFormat="1" applyFont="1" applyFill="1" applyBorder="1" applyAlignment="1">
      <alignment horizontal="center" vertical="center" wrapText="1"/>
    </xf>
    <xf numFmtId="4" fontId="17" fillId="0" borderId="2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0" fontId="27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30" xfId="23" applyFont="1" applyFill="1" applyBorder="1" applyAlignment="1" applyProtection="1">
      <alignment horizontal="center" vertical="center"/>
      <protection locked="0"/>
    </xf>
    <xf numFmtId="10" fontId="38" fillId="4" borderId="0" xfId="23" applyNumberFormat="1" applyFont="1" applyFill="1" applyAlignment="1">
      <alignment horizontal="center" vertical="center" wrapText="1"/>
    </xf>
    <xf numFmtId="10" fontId="38" fillId="4" borderId="5" xfId="23" applyNumberFormat="1" applyFont="1" applyFill="1" applyBorder="1" applyAlignment="1">
      <alignment horizontal="center" vertical="center" wrapText="1"/>
    </xf>
    <xf numFmtId="10" fontId="23" fillId="5" borderId="31" xfId="23" applyNumberFormat="1" applyFont="1" applyFill="1" applyBorder="1" applyAlignment="1">
      <alignment horizontal="center" vertical="center"/>
    </xf>
    <xf numFmtId="10" fontId="23" fillId="5" borderId="32" xfId="23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0" fillId="2" borderId="37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center" vertical="center"/>
    </xf>
    <xf numFmtId="168" fontId="10" fillId="2" borderId="37" xfId="23" applyNumberFormat="1" applyFont="1" applyFill="1" applyBorder="1" applyAlignment="1">
      <alignment horizontal="center" vertical="center"/>
    </xf>
    <xf numFmtId="4" fontId="17" fillId="0" borderId="1" xfId="23" applyNumberFormat="1" applyFont="1" applyBorder="1" applyAlignment="1">
      <alignment horizontal="center"/>
    </xf>
    <xf numFmtId="4" fontId="17" fillId="0" borderId="19" xfId="23" applyNumberFormat="1" applyFont="1" applyBorder="1" applyAlignment="1">
      <alignment horizontal="center"/>
    </xf>
    <xf numFmtId="4" fontId="33" fillId="3" borderId="10" xfId="23" applyNumberFormat="1" applyFont="1" applyFill="1" applyBorder="1" applyAlignment="1">
      <alignment horizontal="center"/>
    </xf>
    <xf numFmtId="4" fontId="33" fillId="3" borderId="30" xfId="23" applyNumberFormat="1" applyFont="1" applyFill="1" applyBorder="1" applyAlignment="1">
      <alignment horizontal="center"/>
    </xf>
    <xf numFmtId="10" fontId="17" fillId="0" borderId="0" xfId="23" applyNumberFormat="1" applyFont="1" applyAlignment="1">
      <alignment horizontal="center"/>
    </xf>
    <xf numFmtId="0" fontId="9" fillId="0" borderId="53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0" fontId="4" fillId="10" borderId="5" xfId="23" applyFont="1" applyFill="1" applyBorder="1" applyAlignment="1">
      <alignment horizontal="center"/>
    </xf>
    <xf numFmtId="0" fontId="48" fillId="10" borderId="35" xfId="0" applyFont="1" applyFill="1" applyBorder="1" applyAlignment="1">
      <alignment horizontal="left" vertical="center"/>
    </xf>
    <xf numFmtId="0" fontId="44" fillId="10" borderId="36" xfId="0" applyFont="1" applyFill="1" applyBorder="1" applyAlignment="1">
      <alignment horizontal="left" vertical="center"/>
    </xf>
    <xf numFmtId="0" fontId="44" fillId="10" borderId="44" xfId="0" applyFont="1" applyFill="1" applyBorder="1" applyAlignment="1">
      <alignment horizontal="left" vertic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2" xfId="23" applyNumberFormat="1" applyFont="1" applyFill="1" applyBorder="1" applyAlignment="1">
      <alignment horizontal="center" vertical="center"/>
    </xf>
    <xf numFmtId="4" fontId="17" fillId="0" borderId="47" xfId="23" applyNumberFormat="1" applyFont="1" applyBorder="1" applyAlignment="1">
      <alignment horizontal="center"/>
    </xf>
    <xf numFmtId="4" fontId="17" fillId="0" borderId="48" xfId="23" applyNumberFormat="1" applyFont="1" applyBorder="1" applyAlignment="1">
      <alignment horizontal="center"/>
    </xf>
    <xf numFmtId="4" fontId="17" fillId="0" borderId="49" xfId="23" applyNumberFormat="1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166" fontId="5" fillId="0" borderId="0" xfId="46" applyNumberFormat="1" applyFont="1" applyFill="1" applyAlignment="1" applyProtection="1">
      <alignment horizontal="left"/>
    </xf>
    <xf numFmtId="165" fontId="17" fillId="0" borderId="35" xfId="23" applyNumberFormat="1" applyFont="1" applyBorder="1" applyAlignment="1">
      <alignment horizontal="center" vertical="center" wrapText="1"/>
    </xf>
    <xf numFmtId="165" fontId="17" fillId="0" borderId="37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deabank.com.ua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438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4385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1238250</xdr:colOff>
      <xdr:row>3</xdr:row>
      <xdr:rowOff>76200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" y="0"/>
          <a:ext cx="26384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41"/>
    <col min="2" max="2" width="38.28515625" style="141" customWidth="1"/>
    <col min="3" max="3" width="23.7109375" style="141" bestFit="1" customWidth="1"/>
    <col min="4" max="4" width="10.42578125" style="141" hidden="1" customWidth="1"/>
    <col min="5" max="10" width="10.42578125" style="141" customWidth="1"/>
    <col min="11" max="16" width="10.42578125" style="141" hidden="1" customWidth="1"/>
    <col min="17" max="17" width="18.42578125" style="141" customWidth="1"/>
    <col min="18" max="16384" width="9.140625" style="141"/>
  </cols>
  <sheetData>
    <row r="3" spans="2:17" ht="13.5" thickBot="1" x14ac:dyDescent="0.25"/>
    <row r="4" spans="2:17" ht="18.95" customHeight="1" thickBot="1" x14ac:dyDescent="0.25">
      <c r="B4" s="242" t="s">
        <v>49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4"/>
    </row>
    <row r="5" spans="2:17" ht="20.25" customHeight="1" x14ac:dyDescent="0.2">
      <c r="B5" s="245" t="s">
        <v>50</v>
      </c>
      <c r="C5" s="231" t="s">
        <v>42</v>
      </c>
      <c r="D5" s="233" t="s">
        <v>41</v>
      </c>
      <c r="E5" s="234"/>
      <c r="F5" s="234"/>
      <c r="G5" s="234"/>
      <c r="H5" s="234"/>
      <c r="I5" s="234"/>
      <c r="J5" s="234"/>
      <c r="K5" s="235"/>
      <c r="L5" s="235"/>
      <c r="M5" s="235"/>
      <c r="N5" s="235"/>
      <c r="O5" s="235"/>
      <c r="P5" s="236"/>
      <c r="Q5" s="237" t="s">
        <v>45</v>
      </c>
    </row>
    <row r="6" spans="2:17" ht="20.25" customHeight="1" thickBot="1" x14ac:dyDescent="0.25">
      <c r="B6" s="246"/>
      <c r="C6" s="232"/>
      <c r="D6" s="149" t="s">
        <v>44</v>
      </c>
      <c r="E6" s="150" t="s">
        <v>43</v>
      </c>
      <c r="F6" s="150" t="s">
        <v>40</v>
      </c>
      <c r="G6" s="150" t="s">
        <v>46</v>
      </c>
      <c r="H6" s="150" t="s">
        <v>47</v>
      </c>
      <c r="I6" s="150" t="s">
        <v>1</v>
      </c>
      <c r="J6" s="150" t="s">
        <v>0</v>
      </c>
      <c r="K6" s="151" t="s">
        <v>48</v>
      </c>
      <c r="L6" s="151" t="s">
        <v>51</v>
      </c>
      <c r="M6" s="151" t="s">
        <v>52</v>
      </c>
      <c r="N6" s="151" t="s">
        <v>53</v>
      </c>
      <c r="O6" s="151" t="s">
        <v>54</v>
      </c>
      <c r="P6" s="163" t="s">
        <v>55</v>
      </c>
      <c r="Q6" s="238"/>
    </row>
    <row r="7" spans="2:17" x14ac:dyDescent="0.2">
      <c r="B7" s="146"/>
      <c r="C7" s="171" t="s">
        <v>65</v>
      </c>
      <c r="D7" s="153">
        <f>IFERROR(VLOOKUP(CONCATENATE($C7,", ",D$6),#REF!,26,0),0)</f>
        <v>0</v>
      </c>
      <c r="E7" s="154">
        <f>IFERROR(VLOOKUP(CONCATENATE($C7,", ",E$6),#REF!,26,0),0)</f>
        <v>0</v>
      </c>
      <c r="F7" s="154">
        <f>IFERROR(VLOOKUP(CONCATENATE($C7,", ",F$6),#REF!,26,0),0)</f>
        <v>0</v>
      </c>
      <c r="G7" s="154">
        <f>IFERROR(VLOOKUP(CONCATENATE($C7,", ",G$6),#REF!,26,0),0)</f>
        <v>0</v>
      </c>
      <c r="H7" s="154">
        <f>IFERROR(VLOOKUP(CONCATENATE($C7,", ",H$6),#REF!,26,0),0)</f>
        <v>0</v>
      </c>
      <c r="I7" s="154">
        <f>IFERROR(VLOOKUP(CONCATENATE($C7,", ",I$6),#REF!,26,0),0)</f>
        <v>0</v>
      </c>
      <c r="J7" s="155">
        <f>IFERROR(VLOOKUP(CONCATENATE($C7,", ",J$6),#REF!,26,0),0)</f>
        <v>0</v>
      </c>
      <c r="K7" s="160">
        <f>IFERROR(VLOOKUP(CONCATENATE($C7,", ",K$6),#REF!,26,0),0)</f>
        <v>0</v>
      </c>
      <c r="L7" s="154">
        <f>IFERROR(VLOOKUP(CONCATENATE($C7,", ",L$6),#REF!,26,0),0)</f>
        <v>0</v>
      </c>
      <c r="M7" s="154">
        <f>IFERROR(VLOOKUP(CONCATENATE($C7,", ",M$6),#REF!,26,0),0)</f>
        <v>0</v>
      </c>
      <c r="N7" s="154">
        <f>IFERROR(VLOOKUP(CONCATENATE($C7,", ",N$6),#REF!,26,0),0)</f>
        <v>0</v>
      </c>
      <c r="O7" s="154">
        <f>IFERROR(VLOOKUP(CONCATENATE($C7,", ",O$6),#REF!,26,0),0)</f>
        <v>0</v>
      </c>
      <c r="P7" s="155">
        <f>IFERROR(VLOOKUP(CONCATENATE($C7,", ",P$6),#REF!,26,0),0)</f>
        <v>0</v>
      </c>
      <c r="Q7" s="239">
        <f>C15+C17+C18+E19+C20+E21</f>
        <v>8400</v>
      </c>
    </row>
    <row r="8" spans="2:17" x14ac:dyDescent="0.2">
      <c r="B8" s="147"/>
      <c r="C8" s="172" t="s">
        <v>64</v>
      </c>
      <c r="D8" s="156">
        <f>IFERROR(VLOOKUP(CONCATENATE($C8,", ",D$6),#REF!,26,0),0)</f>
        <v>0</v>
      </c>
      <c r="E8" s="152">
        <f>IFERROR(VLOOKUP(CONCATENATE($C8,", ",E$6),#REF!,26,0),0)</f>
        <v>0</v>
      </c>
      <c r="F8" s="152">
        <f>IFERROR(VLOOKUP(CONCATENATE($C8,", ",F$6),#REF!,26,0),0)</f>
        <v>0</v>
      </c>
      <c r="G8" s="152">
        <f>IFERROR(VLOOKUP(CONCATENATE($C8,", ",G$6),#REF!,26,0),0)</f>
        <v>0</v>
      </c>
      <c r="H8" s="152">
        <f>IFERROR(VLOOKUP(CONCATENATE($C8,", ",H$6),#REF!,26,0),0)</f>
        <v>0</v>
      </c>
      <c r="I8" s="152">
        <f>IFERROR(VLOOKUP(CONCATENATE($C8,", ",I$6),#REF!,26,0),0)</f>
        <v>0</v>
      </c>
      <c r="J8" s="157">
        <f>IFERROR(VLOOKUP(CONCATENATE($C8,", ",J$6),#REF!,26,0),0)</f>
        <v>0</v>
      </c>
      <c r="K8" s="142">
        <f>IFERROR(VLOOKUP(CONCATENATE($C8,", ",K$6),#REF!,26,0),0)</f>
        <v>0</v>
      </c>
      <c r="L8" s="152">
        <f>IFERROR(VLOOKUP(CONCATENATE($C8,", ",L$6),#REF!,26,0),0)</f>
        <v>0</v>
      </c>
      <c r="M8" s="152">
        <f>IFERROR(VLOOKUP(CONCATENATE($C8,", ",M$6),#REF!,26,0),0)</f>
        <v>0</v>
      </c>
      <c r="N8" s="152">
        <f>IFERROR(VLOOKUP(CONCATENATE($C8,", ",N$6),#REF!,26,0),0)</f>
        <v>0</v>
      </c>
      <c r="O8" s="152">
        <f>IFERROR(VLOOKUP(CONCATENATE($C8,", ",O$6),#REF!,26,0),0)</f>
        <v>0</v>
      </c>
      <c r="P8" s="157">
        <f>IFERROR(VLOOKUP(CONCATENATE($C8,", ",P$6),#REF!,26,0),0)</f>
        <v>0</v>
      </c>
      <c r="Q8" s="240"/>
    </row>
    <row r="9" spans="2:17" ht="13.5" thickBot="1" x14ac:dyDescent="0.25">
      <c r="B9" s="148" t="e">
        <f>VLOOKUP(C9,#REF!,4,0)</f>
        <v>#REF!</v>
      </c>
      <c r="C9" s="173" t="s">
        <v>56</v>
      </c>
      <c r="D9" s="164">
        <f>IFERROR(VLOOKUP(CONCATENATE($C9,", ",D$6),#REF!,26,0),0)</f>
        <v>0</v>
      </c>
      <c r="E9" s="165">
        <f>IFERROR(VLOOKUP(CONCATENATE($C9,", ",E$6),#REF!,26,0),0)</f>
        <v>0</v>
      </c>
      <c r="F9" s="165">
        <f>IFERROR(VLOOKUP(CONCATENATE($C9,", ",F$6),#REF!,26,0),0)</f>
        <v>0</v>
      </c>
      <c r="G9" s="165">
        <f>IFERROR(VLOOKUP(CONCATENATE($C9,", ",G$6),#REF!,26,0),0)</f>
        <v>0</v>
      </c>
      <c r="H9" s="165">
        <f>IFERROR(VLOOKUP(CONCATENATE($C9,", ",H$6),#REF!,26,0),0)</f>
        <v>0</v>
      </c>
      <c r="I9" s="165">
        <f>IFERROR(VLOOKUP(CONCATENATE($C9,", ",I$6),#REF!,26,0),0)</f>
        <v>0</v>
      </c>
      <c r="J9" s="166">
        <f>IFERROR(VLOOKUP(CONCATENATE($C9,", ",J$6),#REF!,26,0),0)</f>
        <v>0</v>
      </c>
      <c r="K9" s="143">
        <f>IFERROR(VLOOKUP(CONCATENATE($C9,", ",K$6),#REF!,26,0),0)</f>
        <v>0</v>
      </c>
      <c r="L9" s="158">
        <f>IFERROR(VLOOKUP(CONCATENATE($C9,", ",L$6),#REF!,26,0),0)</f>
        <v>0</v>
      </c>
      <c r="M9" s="158">
        <f>IFERROR(VLOOKUP(CONCATENATE($C9,", ",M$6),#REF!,26,0),0)</f>
        <v>0</v>
      </c>
      <c r="N9" s="158">
        <f>IFERROR(VLOOKUP(CONCATENATE($C9,", ",N$6),#REF!,26,0),0)</f>
        <v>0</v>
      </c>
      <c r="O9" s="158">
        <f>IFERROR(VLOOKUP(CONCATENATE($C9,", ",O$6),#REF!,26,0),0)</f>
        <v>0</v>
      </c>
      <c r="P9" s="159">
        <f>IFERROR(VLOOKUP(CONCATENATE($C9,", ",P$6),#REF!,26,0),0)</f>
        <v>0</v>
      </c>
      <c r="Q9" s="240"/>
    </row>
    <row r="10" spans="2:17" ht="13.5" thickBot="1" x14ac:dyDescent="0.25">
      <c r="B10" s="167" t="e">
        <f>VLOOKUP(C10,#REF!,4,0)</f>
        <v>#REF!</v>
      </c>
      <c r="C10" s="174"/>
      <c r="D10" s="168">
        <f>IFERROR(VLOOKUP(CONCATENATE($C10,", ",D$6),#REF!,26,0),0)</f>
        <v>0</v>
      </c>
      <c r="E10" s="169">
        <f>IFERROR(VLOOKUP(CONCATENATE($C10,", ",E$6),#REF!,26,0),0)</f>
        <v>0</v>
      </c>
      <c r="F10" s="169">
        <f>IFERROR(VLOOKUP(CONCATENATE($C10,", ",F$6),#REF!,26,0),0)</f>
        <v>0</v>
      </c>
      <c r="G10" s="169">
        <f>IFERROR(VLOOKUP(CONCATENATE($C10,", ",G$6),#REF!,26,0),0)</f>
        <v>0</v>
      </c>
      <c r="H10" s="169">
        <f>IFERROR(VLOOKUP(CONCATENATE($C10,", ",H$6),#REF!,26,0),0)</f>
        <v>0</v>
      </c>
      <c r="I10" s="169">
        <f>IFERROR(VLOOKUP(CONCATENATE($C10,", ",I$6),#REF!,26,0),0)</f>
        <v>0</v>
      </c>
      <c r="J10" s="170">
        <f>IFERROR(VLOOKUP(CONCATENATE($C10,", ",J$6),#REF!,26,0),0)</f>
        <v>0</v>
      </c>
      <c r="K10" s="143">
        <f>IFERROR(VLOOKUP(CONCATENATE($C10,", ",K$6),#REF!,26,0),0)</f>
        <v>0</v>
      </c>
      <c r="L10" s="143">
        <f>IFERROR(VLOOKUP(CONCATENATE($C10,", ",L$6),#REF!,26,0),0)</f>
        <v>0</v>
      </c>
      <c r="M10" s="143">
        <f>IFERROR(VLOOKUP(CONCATENATE($C10,", ",M$6),#REF!,26,0),0)</f>
        <v>0</v>
      </c>
      <c r="N10" s="143">
        <f>IFERROR(VLOOKUP(CONCATENATE($C10,", ",N$6),#REF!,26,0),0)</f>
        <v>0</v>
      </c>
      <c r="O10" s="143">
        <f>IFERROR(VLOOKUP(CONCATENATE($C10,", ",O$6),#REF!,26,0),0)</f>
        <v>0</v>
      </c>
      <c r="P10" s="161">
        <f>IFERROR(VLOOKUP(CONCATENATE($C10,", ",P$6),#REF!,26,0),0)</f>
        <v>0</v>
      </c>
      <c r="Q10" s="241"/>
    </row>
    <row r="15" spans="2:17" x14ac:dyDescent="0.2">
      <c r="B15" s="175" t="s">
        <v>57</v>
      </c>
      <c r="C15" s="176">
        <v>2000</v>
      </c>
      <c r="E15" s="180"/>
    </row>
    <row r="16" spans="2:17" x14ac:dyDescent="0.2">
      <c r="B16" s="175" t="s">
        <v>58</v>
      </c>
      <c r="C16" s="177"/>
      <c r="E16" s="180"/>
    </row>
    <row r="17" spans="2:5" x14ac:dyDescent="0.2">
      <c r="B17" s="178" t="s">
        <v>59</v>
      </c>
      <c r="C17" s="179">
        <v>1000</v>
      </c>
      <c r="E17" s="180"/>
    </row>
    <row r="18" spans="2:5" x14ac:dyDescent="0.2">
      <c r="B18" s="178" t="s">
        <v>60</v>
      </c>
      <c r="C18" s="179">
        <v>1000</v>
      </c>
      <c r="E18" s="180"/>
    </row>
    <row r="19" spans="2:5" x14ac:dyDescent="0.2">
      <c r="B19" s="178" t="s">
        <v>61</v>
      </c>
      <c r="C19" s="179">
        <v>2000</v>
      </c>
      <c r="E19" s="180">
        <f>C19*0.2</f>
        <v>400</v>
      </c>
    </row>
    <row r="20" spans="2:5" x14ac:dyDescent="0.2">
      <c r="B20" s="178" t="s">
        <v>62</v>
      </c>
      <c r="C20" s="179">
        <v>1000</v>
      </c>
      <c r="E20" s="180"/>
    </row>
    <row r="21" spans="2:5" x14ac:dyDescent="0.2">
      <c r="B21" s="178" t="s">
        <v>63</v>
      </c>
      <c r="C21" s="179">
        <v>5000</v>
      </c>
      <c r="E21" s="18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E15" sqref="E15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VLOOKUP(Простий!H2,Лист2!A:N,14,FALSE)</f>
        <v>#N/A</v>
      </c>
      <c r="F2" s="126" t="e">
        <f>VLOOKUP(H$2,Лист2!$A:$G,2,0)</f>
        <v>#N/A</v>
      </c>
      <c r="G2" s="185">
        <f ca="1">TODAY()</f>
        <v>45912</v>
      </c>
      <c r="H2" s="267" t="s">
        <v>68</v>
      </c>
      <c r="I2" s="268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70"/>
      <c r="G4" s="125"/>
      <c r="H4" s="39"/>
      <c r="I4" s="50"/>
      <c r="J4" s="50"/>
      <c r="AA4" s="69"/>
    </row>
    <row r="5" spans="1:45" ht="21" thickBot="1" x14ac:dyDescent="0.25">
      <c r="A5" s="1"/>
      <c r="B5" s="273" t="str">
        <f>Назви!A1</f>
        <v>Cash out, грн.</v>
      </c>
      <c r="C5" s="274"/>
      <c r="D5" s="274"/>
      <c r="E5" s="275"/>
      <c r="F5" s="118">
        <v>1000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76" t="str">
        <f>Назви!A3</f>
        <v>Процентна ставка базова, % річних</v>
      </c>
      <c r="C7" s="277">
        <f>Назви!B3</f>
        <v>0</v>
      </c>
      <c r="D7" s="277">
        <f>Назви!C3</f>
        <v>0</v>
      </c>
      <c r="E7" s="278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76" t="str">
        <f>Назви!A7</f>
        <v>Разовий страховий тариф, %</v>
      </c>
      <c r="C9" s="277">
        <f>Назви!B7</f>
        <v>0</v>
      </c>
      <c r="D9" s="277">
        <f>Назви!C7</f>
        <v>0</v>
      </c>
      <c r="E9" s="278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76" t="str">
        <f>Назви!A9</f>
        <v xml:space="preserve">Щомісячна плата за обслуговування кредитної заборгованості, % </v>
      </c>
      <c r="C11" s="277">
        <f>Назви!B9</f>
        <v>0</v>
      </c>
      <c r="D11" s="277">
        <f>Назви!C9</f>
        <v>0</v>
      </c>
      <c r="E11" s="278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76" t="str">
        <f>Назви!A11</f>
        <v>Термін кредитування (міс.)</v>
      </c>
      <c r="C13" s="277">
        <f>Назви!B11</f>
        <v>0</v>
      </c>
      <c r="D13" s="277">
        <f>Назви!C11</f>
        <v>0</v>
      </c>
      <c r="E13" s="278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9" t="str">
        <f>Назви!A14</f>
        <v>Орієнтовний платіж, грн.</v>
      </c>
      <c r="C16" s="280">
        <f>Назви!B14</f>
        <v>0</v>
      </c>
      <c r="D16" s="280">
        <f>Назви!C14</f>
        <v>0</v>
      </c>
      <c r="E16" s="281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9" t="str">
        <f>Назви!A16</f>
        <v>Орієнтовні загальні витрати за кредитом, грн.</v>
      </c>
      <c r="C18" s="280">
        <f>Назви!B16</f>
        <v>0</v>
      </c>
      <c r="D18" s="280">
        <f>Назви!C16</f>
        <v>0</v>
      </c>
      <c r="E18" s="281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9" t="str">
        <f>Назви!A18</f>
        <v>Орієнтовна загальна вартість кредиту, грн.</v>
      </c>
      <c r="C20" s="280">
        <f>Назви!B18</f>
        <v>0</v>
      </c>
      <c r="D20" s="280">
        <f>Назви!C18</f>
        <v>0</v>
      </c>
      <c r="E20" s="281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65" t="str">
        <f>Назви!A22</f>
        <v>Інший термін</v>
      </c>
      <c r="C22" s="266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56" t="s">
        <v>36</v>
      </c>
      <c r="C23" s="25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56" t="s">
        <v>37</v>
      </c>
      <c r="C24" s="25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56" t="s">
        <v>8</v>
      </c>
      <c r="C25" s="25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56"/>
      <c r="C26" s="25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58" t="str">
        <f>Назви!A29</f>
        <v>Орієнтовний порядок повернення кредиту</v>
      </c>
      <c r="C29" s="259"/>
      <c r="D29" s="259"/>
      <c r="E29" s="259"/>
      <c r="F29" s="259"/>
      <c r="G29" s="259"/>
      <c r="H29" s="26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61" t="str">
        <f>Назви!A30</f>
        <v>Місяць</v>
      </c>
      <c r="C30" s="26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1" t="str">
        <f>Назви!F30</f>
        <v>Сума платежу за розрахунковий період, грн.</v>
      </c>
      <c r="H30" s="26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45912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45942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63" t="e">
        <f t="shared" ref="G32:G91" si="4">D32+E32+F32</f>
        <v>#N/A</v>
      </c>
      <c r="H32" s="26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45973</v>
      </c>
      <c r="D33" s="31" t="e">
        <f>G16-E32-F32</f>
        <v>#N/A</v>
      </c>
      <c r="E33" s="32" t="e">
        <f>IF(B33&lt;=$F$13,(E$15*(VLOOKUP($H$2,Лист2!$A:$N,12,0)-(B33-1)*VLOOKUP($H$2,Лист2!$A:$N,13,0))),0)*0</f>
        <v>#N/A</v>
      </c>
      <c r="F33" s="184" t="e">
        <f>ROUND((E$15-SUM(D$32:D32))*F$7*30/365,2)*0.1%</f>
        <v>#N/A</v>
      </c>
      <c r="G33" s="252" t="e">
        <f t="shared" si="4"/>
        <v>#N/A</v>
      </c>
      <c r="H33" s="253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46003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52" t="e">
        <f t="shared" si="4"/>
        <v>#N/A</v>
      </c>
      <c r="H34" s="253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46034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52" t="e">
        <f t="shared" si="4"/>
        <v>#N/A</v>
      </c>
      <c r="H35" s="253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46065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52" t="e">
        <f t="shared" si="4"/>
        <v>#N/A</v>
      </c>
      <c r="H36" s="253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46093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52" t="e">
        <f t="shared" si="4"/>
        <v>#N/A</v>
      </c>
      <c r="H37" s="253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46124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52" t="e">
        <f t="shared" si="4"/>
        <v>#N/A</v>
      </c>
      <c r="H38" s="253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46154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52" t="e">
        <f t="shared" si="4"/>
        <v>#N/A</v>
      </c>
      <c r="H39" s="253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46185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52" t="e">
        <f t="shared" si="4"/>
        <v>#N/A</v>
      </c>
      <c r="H40" s="253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46215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52" t="e">
        <f t="shared" si="4"/>
        <v>#N/A</v>
      </c>
      <c r="H41" s="253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46246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52" t="e">
        <f t="shared" si="4"/>
        <v>#N/A</v>
      </c>
      <c r="H42" s="253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46277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52" t="e">
        <f t="shared" si="4"/>
        <v>#N/A</v>
      </c>
      <c r="H43" s="253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46307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52" t="e">
        <f t="shared" si="4"/>
        <v>#N/A</v>
      </c>
      <c r="H44" s="253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46338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52" t="e">
        <f t="shared" si="4"/>
        <v>#N/A</v>
      </c>
      <c r="H45" s="253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46368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52" t="e">
        <f t="shared" si="4"/>
        <v>#N/A</v>
      </c>
      <c r="H46" s="253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46399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52" t="e">
        <f t="shared" si="4"/>
        <v>#N/A</v>
      </c>
      <c r="H47" s="253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46430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52" t="e">
        <f t="shared" si="4"/>
        <v>#N/A</v>
      </c>
      <c r="H48" s="253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46458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52" t="e">
        <f t="shared" si="4"/>
        <v>#N/A</v>
      </c>
      <c r="H49" s="253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46489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52" t="e">
        <f t="shared" si="4"/>
        <v>#N/A</v>
      </c>
      <c r="H50" s="253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46519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52" t="e">
        <f t="shared" si="4"/>
        <v>#N/A</v>
      </c>
      <c r="H51" s="253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46550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52" t="e">
        <f t="shared" si="4"/>
        <v>#N/A</v>
      </c>
      <c r="H52" s="253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46580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52" t="e">
        <f t="shared" si="4"/>
        <v>#N/A</v>
      </c>
      <c r="H53" s="253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46611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52" t="e">
        <f t="shared" si="4"/>
        <v>#N/A</v>
      </c>
      <c r="H54" s="253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46642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52" t="e">
        <f t="shared" si="4"/>
        <v>#N/A</v>
      </c>
      <c r="H55" s="253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46672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52" t="e">
        <f t="shared" si="4"/>
        <v>#N/A</v>
      </c>
      <c r="H56" s="253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46703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52" t="e">
        <f t="shared" si="4"/>
        <v>#N/A</v>
      </c>
      <c r="H57" s="253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46733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52" t="e">
        <f t="shared" si="4"/>
        <v>#N/A</v>
      </c>
      <c r="H58" s="253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46764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52" t="e">
        <f t="shared" si="4"/>
        <v>#N/A</v>
      </c>
      <c r="H59" s="253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46795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52" t="e">
        <f t="shared" si="4"/>
        <v>#N/A</v>
      </c>
      <c r="H60" s="253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46824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52" t="e">
        <f t="shared" si="4"/>
        <v>#N/A</v>
      </c>
      <c r="H61" s="253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46855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52" t="e">
        <f t="shared" si="4"/>
        <v>#N/A</v>
      </c>
      <c r="H62" s="253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46885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52" t="e">
        <f t="shared" si="4"/>
        <v>#N/A</v>
      </c>
      <c r="H63" s="253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46916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52" t="e">
        <f t="shared" si="4"/>
        <v>#N/A</v>
      </c>
      <c r="H64" s="253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46946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52" t="e">
        <f t="shared" si="4"/>
        <v>#N/A</v>
      </c>
      <c r="H65" s="253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46977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52" t="e">
        <f t="shared" si="4"/>
        <v>#N/A</v>
      </c>
      <c r="H66" s="253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47008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52" t="e">
        <f t="shared" si="4"/>
        <v>#N/A</v>
      </c>
      <c r="H67" s="253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47038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52" t="e">
        <f t="shared" si="4"/>
        <v>#N/A</v>
      </c>
      <c r="H68" s="253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47069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52" t="e">
        <f t="shared" si="4"/>
        <v>#N/A</v>
      </c>
      <c r="H69" s="253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47099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52" t="e">
        <f t="shared" si="4"/>
        <v>#N/A</v>
      </c>
      <c r="H70" s="253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47130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52" t="e">
        <f t="shared" si="4"/>
        <v>#N/A</v>
      </c>
      <c r="H71" s="253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47161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52" t="e">
        <f t="shared" si="4"/>
        <v>#N/A</v>
      </c>
      <c r="H72" s="253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47189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52" t="e">
        <f t="shared" si="4"/>
        <v>#N/A</v>
      </c>
      <c r="H73" s="253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47220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52" t="e">
        <f t="shared" si="4"/>
        <v>#N/A</v>
      </c>
      <c r="H74" s="253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47250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52" t="e">
        <f t="shared" si="4"/>
        <v>#N/A</v>
      </c>
      <c r="H75" s="253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47281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52" t="e">
        <f t="shared" si="4"/>
        <v>#N/A</v>
      </c>
      <c r="H76" s="253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47311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52" t="e">
        <f t="shared" si="4"/>
        <v>#N/A</v>
      </c>
      <c r="H77" s="253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47342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52" t="e">
        <f t="shared" si="4"/>
        <v>#N/A</v>
      </c>
      <c r="H78" s="253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47373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52" t="e">
        <f t="shared" si="4"/>
        <v>#N/A</v>
      </c>
      <c r="H79" s="253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47403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52" t="e">
        <f t="shared" si="4"/>
        <v>#N/A</v>
      </c>
      <c r="H80" s="253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47434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52" t="e">
        <f t="shared" si="4"/>
        <v>#N/A</v>
      </c>
      <c r="H81" s="253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47464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52" t="e">
        <f t="shared" si="4"/>
        <v>#N/A</v>
      </c>
      <c r="H82" s="253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47495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52" t="e">
        <f t="shared" si="4"/>
        <v>#N/A</v>
      </c>
      <c r="H83" s="253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47526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52" t="e">
        <f t="shared" si="4"/>
        <v>#N/A</v>
      </c>
      <c r="H84" s="253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47554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52" t="e">
        <f t="shared" si="4"/>
        <v>#N/A</v>
      </c>
      <c r="H85" s="253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47585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52" t="e">
        <f t="shared" si="4"/>
        <v>#N/A</v>
      </c>
      <c r="H86" s="253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47615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52" t="e">
        <f t="shared" si="4"/>
        <v>#N/A</v>
      </c>
      <c r="H87" s="253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47646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52" t="e">
        <f t="shared" si="4"/>
        <v>#N/A</v>
      </c>
      <c r="H88" s="253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47676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52" t="e">
        <f t="shared" si="4"/>
        <v>#N/A</v>
      </c>
      <c r="H89" s="253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47707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52" t="e">
        <f t="shared" si="4"/>
        <v>#N/A</v>
      </c>
      <c r="H90" s="253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47738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54" t="e">
        <f t="shared" si="4"/>
        <v>#N/A</v>
      </c>
      <c r="H91" s="255"/>
      <c r="I91" s="134"/>
      <c r="J91" s="134"/>
    </row>
    <row r="92" spans="1:19" ht="16.5" thickBot="1" x14ac:dyDescent="0.25">
      <c r="A92" s="60"/>
      <c r="B92" s="247" t="s">
        <v>3</v>
      </c>
      <c r="C92" s="248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49" t="e">
        <f>SUM(G32:H91)</f>
        <v>#N/A</v>
      </c>
      <c r="H92" s="250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51" t="s">
        <v>5</v>
      </c>
      <c r="F94" s="251"/>
      <c r="G94" s="251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</mergeCells>
  <dataValidations count="1">
    <dataValidation type="list" allowBlank="1" showInputMessage="1" showErrorMessage="1" sqref="H2:I2" xr:uid="{00000000-0002-0000-0100-000000000000}">
      <formula1>$AA$15:$AA$21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18" sqref="F18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VLOOKUP('BIG CASH'!H2,Лист2!A:N,14,FALSE)</f>
        <v>#N/A</v>
      </c>
      <c r="F2" s="126" t="e">
        <f>VLOOKUP(H$2,Лист2!$A:$G,2,0)</f>
        <v>#N/A</v>
      </c>
      <c r="G2" s="185">
        <f ca="1">TODAY()</f>
        <v>45912</v>
      </c>
      <c r="H2" s="267" t="s">
        <v>67</v>
      </c>
      <c r="I2" s="268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70"/>
      <c r="G4" s="125"/>
      <c r="H4" s="39"/>
      <c r="I4" s="50"/>
      <c r="J4" s="50"/>
      <c r="AA4" s="69"/>
    </row>
    <row r="5" spans="1:45" ht="21" thickBot="1" x14ac:dyDescent="0.25">
      <c r="A5" s="1"/>
      <c r="B5" s="273" t="str">
        <f>Назви!A1</f>
        <v>Cash out, грн.</v>
      </c>
      <c r="C5" s="274"/>
      <c r="D5" s="274"/>
      <c r="E5" s="275"/>
      <c r="F5" s="118">
        <v>285713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76" t="str">
        <f>Назви!A3</f>
        <v>Процентна ставка базова, % річних</v>
      </c>
      <c r="C7" s="277">
        <f>Назви!B3</f>
        <v>0</v>
      </c>
      <c r="D7" s="277">
        <f>Назви!C3</f>
        <v>0</v>
      </c>
      <c r="E7" s="278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76" t="str">
        <f>Назви!A7</f>
        <v>Разовий страховий тариф, %</v>
      </c>
      <c r="C9" s="277">
        <f>Назви!B7</f>
        <v>0</v>
      </c>
      <c r="D9" s="277">
        <f>Назви!C7</f>
        <v>0</v>
      </c>
      <c r="E9" s="278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76" t="str">
        <f>Назви!A9</f>
        <v xml:space="preserve">Щомісячна плата за обслуговування кредитної заборгованості, % </v>
      </c>
      <c r="C11" s="277">
        <f>Назви!B9</f>
        <v>0</v>
      </c>
      <c r="D11" s="277">
        <f>Назви!C9</f>
        <v>0</v>
      </c>
      <c r="E11" s="278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76" t="str">
        <f>Назви!A11</f>
        <v>Термін кредитування (міс.)</v>
      </c>
      <c r="C13" s="277">
        <f>Назви!B11</f>
        <v>0</v>
      </c>
      <c r="D13" s="277">
        <f>Назви!C11</f>
        <v>0</v>
      </c>
      <c r="E13" s="278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9" t="str">
        <f>Назви!A14</f>
        <v>Орієнтовний платіж, грн.</v>
      </c>
      <c r="C16" s="280">
        <f>Назви!B14</f>
        <v>0</v>
      </c>
      <c r="D16" s="280">
        <f>Назви!C14</f>
        <v>0</v>
      </c>
      <c r="E16" s="281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9" t="str">
        <f>Назви!A16</f>
        <v>Орієнтовні загальні витрати за кредитом, грн.</v>
      </c>
      <c r="C18" s="280">
        <f>Назви!B16</f>
        <v>0</v>
      </c>
      <c r="D18" s="280">
        <f>Назви!C16</f>
        <v>0</v>
      </c>
      <c r="E18" s="281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9" t="str">
        <f>Назви!A18</f>
        <v>Орієнтовна загальна вартість кредиту, грн.</v>
      </c>
      <c r="C20" s="280">
        <f>Назви!B18</f>
        <v>0</v>
      </c>
      <c r="D20" s="280">
        <f>Назви!C18</f>
        <v>0</v>
      </c>
      <c r="E20" s="281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65" t="str">
        <f>Назви!A22</f>
        <v>Інший термін</v>
      </c>
      <c r="C22" s="266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56" t="s">
        <v>36</v>
      </c>
      <c r="C23" s="25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56" t="s">
        <v>37</v>
      </c>
      <c r="C24" s="25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56" t="s">
        <v>8</v>
      </c>
      <c r="C25" s="25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56"/>
      <c r="C26" s="25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58" t="str">
        <f>Назви!A29</f>
        <v>Орієнтовний порядок повернення кредиту</v>
      </c>
      <c r="C29" s="259"/>
      <c r="D29" s="259"/>
      <c r="E29" s="259"/>
      <c r="F29" s="259"/>
      <c r="G29" s="259"/>
      <c r="H29" s="26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11.25" customHeight="1" thickBot="1" x14ac:dyDescent="0.25">
      <c r="A30" s="1"/>
      <c r="B30" s="261" t="str">
        <f>Назви!A30</f>
        <v>Місяць</v>
      </c>
      <c r="C30" s="26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1" t="str">
        <f>Назви!F30</f>
        <v>Сума платежу за розрахунковий період, грн.</v>
      </c>
      <c r="H30" s="26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1.5" customHeight="1" thickBot="1" x14ac:dyDescent="0.25">
      <c r="A31" s="1"/>
      <c r="B31" s="112">
        <v>0</v>
      </c>
      <c r="C31" s="131">
        <f ca="1">TODAY()</f>
        <v>45912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ht="11.25" customHeight="1" x14ac:dyDescent="0.2">
      <c r="A32" s="1">
        <v>1</v>
      </c>
      <c r="B32" s="129">
        <v>1</v>
      </c>
      <c r="C32" s="136">
        <f ca="1">DATE(YEAR(C31),MONTH(C31)+1,DAY(C31))</f>
        <v>45942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63" t="e">
        <f t="shared" ref="G32:G43" si="4">D32+E32+F32</f>
        <v>#N/A</v>
      </c>
      <c r="H32" s="26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45973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52" t="e">
        <f t="shared" si="4"/>
        <v>#N/A</v>
      </c>
      <c r="H33" s="253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46003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52" t="e">
        <f t="shared" si="4"/>
        <v>#N/A</v>
      </c>
      <c r="H34" s="253"/>
      <c r="I34" s="3"/>
      <c r="K34" s="55"/>
      <c r="L34" s="55"/>
      <c r="M34" s="55"/>
      <c r="N34" s="55"/>
      <c r="O34" s="55"/>
      <c r="P34" s="55"/>
      <c r="Q34" s="55"/>
      <c r="R34" s="55"/>
      <c r="S34" s="55"/>
    </row>
    <row r="35" spans="1:27" x14ac:dyDescent="0.2">
      <c r="A35" s="1">
        <v>4</v>
      </c>
      <c r="B35" s="128">
        <v>4</v>
      </c>
      <c r="C35" s="132">
        <f t="shared" ca="1" si="5"/>
        <v>46034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52" t="e">
        <f t="shared" si="4"/>
        <v>#N/A</v>
      </c>
      <c r="H35" s="253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46065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52" t="e">
        <f t="shared" si="4"/>
        <v>#N/A</v>
      </c>
      <c r="H36" s="253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46093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52" t="e">
        <f t="shared" si="4"/>
        <v>#N/A</v>
      </c>
      <c r="H37" s="253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46124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52" t="e">
        <f t="shared" si="4"/>
        <v>#N/A</v>
      </c>
      <c r="H38" s="253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46154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52" t="e">
        <f t="shared" si="4"/>
        <v>#N/A</v>
      </c>
      <c r="H39" s="253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46185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52" t="e">
        <f t="shared" si="4"/>
        <v>#N/A</v>
      </c>
      <c r="H40" s="253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46215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52" t="e">
        <f t="shared" si="4"/>
        <v>#N/A</v>
      </c>
      <c r="H41" s="253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46246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52" t="e">
        <f t="shared" si="4"/>
        <v>#N/A</v>
      </c>
      <c r="H42" s="253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46277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52" t="e">
        <f t="shared" si="4"/>
        <v>#N/A</v>
      </c>
      <c r="H43" s="253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46307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52" t="e">
        <f t="shared" ref="G44:G61" si="6">D44+E44+F44</f>
        <v>#N/A</v>
      </c>
      <c r="H44" s="253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46338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52" t="e">
        <f t="shared" si="6"/>
        <v>#N/A</v>
      </c>
      <c r="H45" s="253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46368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52" t="e">
        <f t="shared" si="6"/>
        <v>#N/A</v>
      </c>
      <c r="H46" s="253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46399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52" t="e">
        <f t="shared" si="6"/>
        <v>#N/A</v>
      </c>
      <c r="H47" s="253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46430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52" t="e">
        <f t="shared" si="6"/>
        <v>#N/A</v>
      </c>
      <c r="H48" s="253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46458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52" t="e">
        <f t="shared" si="6"/>
        <v>#N/A</v>
      </c>
      <c r="H49" s="253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46489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52" t="e">
        <f t="shared" si="6"/>
        <v>#N/A</v>
      </c>
      <c r="H50" s="253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46519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52" t="e">
        <f t="shared" si="6"/>
        <v>#N/A</v>
      </c>
      <c r="H51" s="253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46550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52" t="e">
        <f t="shared" si="6"/>
        <v>#N/A</v>
      </c>
      <c r="H52" s="253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46580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52" t="e">
        <f t="shared" si="6"/>
        <v>#N/A</v>
      </c>
      <c r="H53" s="253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46611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52" t="e">
        <f t="shared" si="6"/>
        <v>#N/A</v>
      </c>
      <c r="H54" s="253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46642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52" t="e">
        <f t="shared" si="6"/>
        <v>#N/A</v>
      </c>
      <c r="H55" s="253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46672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52" t="e">
        <f t="shared" si="6"/>
        <v>#N/A</v>
      </c>
      <c r="H56" s="253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46703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52" t="e">
        <f t="shared" si="6"/>
        <v>#N/A</v>
      </c>
      <c r="H57" s="253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46733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52" t="e">
        <f t="shared" si="6"/>
        <v>#N/A</v>
      </c>
      <c r="H58" s="253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46764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52" t="e">
        <f t="shared" si="6"/>
        <v>#N/A</v>
      </c>
      <c r="H59" s="253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46795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52" t="e">
        <f t="shared" si="6"/>
        <v>#N/A</v>
      </c>
      <c r="H60" s="253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46824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52" t="e">
        <f t="shared" si="6"/>
        <v>#N/A</v>
      </c>
      <c r="H61" s="253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46855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52" t="e">
        <f t="shared" ref="G62:G67" si="7">D62+E62+F62</f>
        <v>#N/A</v>
      </c>
      <c r="H62" s="253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46885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52" t="e">
        <f t="shared" si="7"/>
        <v>#N/A</v>
      </c>
      <c r="H63" s="253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46916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52" t="e">
        <f t="shared" si="7"/>
        <v>#N/A</v>
      </c>
      <c r="H64" s="253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46946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52" t="e">
        <f t="shared" si="7"/>
        <v>#N/A</v>
      </c>
      <c r="H65" s="253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46977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52" t="e">
        <f t="shared" si="7"/>
        <v>#N/A</v>
      </c>
      <c r="H66" s="253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47008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52" t="e">
        <f t="shared" si="7"/>
        <v>#N/A</v>
      </c>
      <c r="H67" s="253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47038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52" t="e">
        <f t="shared" ref="G68:G81" si="8">D68+E68+F68</f>
        <v>#N/A</v>
      </c>
      <c r="H68" s="253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47069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52" t="e">
        <f t="shared" si="8"/>
        <v>#N/A</v>
      </c>
      <c r="H69" s="253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47099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52" t="e">
        <f t="shared" si="8"/>
        <v>#N/A</v>
      </c>
      <c r="H70" s="253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47130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52" t="e">
        <f t="shared" si="8"/>
        <v>#N/A</v>
      </c>
      <c r="H71" s="253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47161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52" t="e">
        <f t="shared" si="8"/>
        <v>#N/A</v>
      </c>
      <c r="H72" s="253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47189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52" t="e">
        <f t="shared" si="8"/>
        <v>#N/A</v>
      </c>
      <c r="H73" s="253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47220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52" t="e">
        <f t="shared" si="8"/>
        <v>#N/A</v>
      </c>
      <c r="H74" s="253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47250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52" t="e">
        <f t="shared" si="8"/>
        <v>#N/A</v>
      </c>
      <c r="H75" s="253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47281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52" t="e">
        <f t="shared" si="8"/>
        <v>#N/A</v>
      </c>
      <c r="H76" s="253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47311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52" t="e">
        <f t="shared" si="8"/>
        <v>#N/A</v>
      </c>
      <c r="H77" s="253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47342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52" t="e">
        <f t="shared" si="8"/>
        <v>#N/A</v>
      </c>
      <c r="H78" s="253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47373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52" t="e">
        <f t="shared" si="8"/>
        <v>#N/A</v>
      </c>
      <c r="H79" s="253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47403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52" t="e">
        <f t="shared" si="8"/>
        <v>#N/A</v>
      </c>
      <c r="H80" s="253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47434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52" t="e">
        <f t="shared" si="8"/>
        <v>#N/A</v>
      </c>
      <c r="H81" s="253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47464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52" t="e">
        <f t="shared" ref="G82:G91" si="9">D82+E82+F82</f>
        <v>#N/A</v>
      </c>
      <c r="H82" s="253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47495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52" t="e">
        <f t="shared" si="9"/>
        <v>#N/A</v>
      </c>
      <c r="H83" s="253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47526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52" t="e">
        <f t="shared" si="9"/>
        <v>#N/A</v>
      </c>
      <c r="H84" s="253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47554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52" t="e">
        <f t="shared" si="9"/>
        <v>#N/A</v>
      </c>
      <c r="H85" s="253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47585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52" t="e">
        <f t="shared" si="9"/>
        <v>#N/A</v>
      </c>
      <c r="H86" s="253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47615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52" t="e">
        <f t="shared" si="9"/>
        <v>#N/A</v>
      </c>
      <c r="H87" s="253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47646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52" t="e">
        <f t="shared" si="9"/>
        <v>#N/A</v>
      </c>
      <c r="H88" s="253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47676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52" t="e">
        <f t="shared" si="9"/>
        <v>#N/A</v>
      </c>
      <c r="H89" s="253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47707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52" t="e">
        <f t="shared" si="9"/>
        <v>#N/A</v>
      </c>
      <c r="H90" s="253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47738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54" t="e">
        <f t="shared" si="9"/>
        <v>#N/A</v>
      </c>
      <c r="H91" s="255"/>
      <c r="I91" s="134"/>
      <c r="J91" s="134"/>
    </row>
    <row r="92" spans="1:19" ht="16.5" thickBot="1" x14ac:dyDescent="0.25">
      <c r="A92" s="60"/>
      <c r="B92" s="247" t="s">
        <v>3</v>
      </c>
      <c r="C92" s="248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49" t="e">
        <f>SUM(G32:H91)</f>
        <v>#N/A</v>
      </c>
      <c r="H92" s="250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51" t="s">
        <v>5</v>
      </c>
      <c r="F94" s="251"/>
      <c r="G94" s="251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G62:H62"/>
    <mergeCell ref="G63:H63"/>
    <mergeCell ref="G64:H64"/>
    <mergeCell ref="G65:H65"/>
    <mergeCell ref="G66:H66"/>
    <mergeCell ref="G67:H67"/>
    <mergeCell ref="G92:H92"/>
    <mergeCell ref="G52:H52"/>
    <mergeCell ref="E94:G94"/>
    <mergeCell ref="G53:H53"/>
    <mergeCell ref="G54:H54"/>
    <mergeCell ref="G61:H61"/>
    <mergeCell ref="G83:H83"/>
    <mergeCell ref="G89:H89"/>
    <mergeCell ref="G90:H90"/>
    <mergeCell ref="G91:H91"/>
    <mergeCell ref="G84:H84"/>
    <mergeCell ref="G85:H85"/>
    <mergeCell ref="G86:H86"/>
    <mergeCell ref="G87:H87"/>
    <mergeCell ref="G88:H88"/>
    <mergeCell ref="B92:C9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49:H49"/>
    <mergeCell ref="G50:H50"/>
    <mergeCell ref="G51:H51"/>
    <mergeCell ref="G55:H55"/>
    <mergeCell ref="G56:H56"/>
    <mergeCell ref="G46:H46"/>
    <mergeCell ref="G47:H47"/>
    <mergeCell ref="G48:H48"/>
    <mergeCell ref="G43:H43"/>
    <mergeCell ref="G44:H44"/>
    <mergeCell ref="G45:H45"/>
    <mergeCell ref="H2:I2"/>
    <mergeCell ref="F3:F4"/>
    <mergeCell ref="H3:I3"/>
    <mergeCell ref="G40:H40"/>
    <mergeCell ref="G41:H41"/>
    <mergeCell ref="G37:H37"/>
    <mergeCell ref="G38:H38"/>
    <mergeCell ref="G39:H39"/>
    <mergeCell ref="B5:E5"/>
    <mergeCell ref="B7:E7"/>
    <mergeCell ref="B11:E11"/>
    <mergeCell ref="B9:E9"/>
    <mergeCell ref="B13:E13"/>
    <mergeCell ref="B16:E16"/>
    <mergeCell ref="B18:E18"/>
    <mergeCell ref="B20:E20"/>
    <mergeCell ref="B22:C22"/>
    <mergeCell ref="B23:C23"/>
    <mergeCell ref="B24:C24"/>
    <mergeCell ref="G60:H60"/>
    <mergeCell ref="G57:H57"/>
    <mergeCell ref="G58:H58"/>
    <mergeCell ref="G59:H59"/>
    <mergeCell ref="G32:H32"/>
    <mergeCell ref="G33:H33"/>
    <mergeCell ref="B25:C25"/>
    <mergeCell ref="B26:C26"/>
    <mergeCell ref="B29:H29"/>
    <mergeCell ref="B30:C30"/>
    <mergeCell ref="G30:H30"/>
    <mergeCell ref="G34:H34"/>
    <mergeCell ref="G35:H35"/>
    <mergeCell ref="G36:H36"/>
    <mergeCell ref="G42:H42"/>
  </mergeCells>
  <dataValidations count="1">
    <dataValidation type="list" allowBlank="1" showInputMessage="1" showErrorMessage="1" sqref="H2:I2" xr:uid="{00000000-0002-0000-0200-000000000000}">
      <formula1>$AA$28:$AA$33</formula1>
    </dataValidation>
  </dataValidations>
  <pageMargins left="0.39370078740157483" right="0.35433070866141736" top="0.59055118110236227" bottom="0.59055118110236227" header="0.51181102362204722" footer="0.51181102362204722"/>
  <pageSetup paperSize="9" scale="69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AS99"/>
  <sheetViews>
    <sheetView view="pageBreakPreview" zoomScaleNormal="70" zoomScaleSheetLayoutView="100" workbookViewId="0">
      <pane ySplit="4" topLeftCell="A17" activePane="bottomLeft" state="frozen"/>
      <selection activeCell="F4" sqref="F4"/>
      <selection pane="bottomLeft" activeCell="G19" sqref="G19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VLOOKUP(Пенсійний!H2,Лист2!A:N,14,FALSE)</f>
        <v>#N/A</v>
      </c>
      <c r="F2" s="126" t="e">
        <f>VLOOKUP(H$2,Лист2!$A:$G,2,0)</f>
        <v>#N/A</v>
      </c>
      <c r="G2" s="185">
        <f ca="1">TODAY()</f>
        <v>45912</v>
      </c>
      <c r="H2" s="267" t="s">
        <v>66</v>
      </c>
      <c r="I2" s="268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70"/>
      <c r="G4" s="125"/>
      <c r="H4" s="39"/>
      <c r="I4" s="50"/>
      <c r="J4" s="50"/>
      <c r="AA4" s="69"/>
    </row>
    <row r="5" spans="1:45" ht="21" thickBot="1" x14ac:dyDescent="0.25">
      <c r="A5" s="1"/>
      <c r="B5" s="273" t="str">
        <f>Назви!A1</f>
        <v>Cash out, грн.</v>
      </c>
      <c r="C5" s="274"/>
      <c r="D5" s="274"/>
      <c r="E5" s="275"/>
      <c r="F5" s="118">
        <v>21007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76" t="str">
        <f>Назви!A3</f>
        <v>Процентна ставка базова, % річних</v>
      </c>
      <c r="C7" s="277">
        <f>Назви!B3</f>
        <v>0</v>
      </c>
      <c r="D7" s="277">
        <f>Назви!C3</f>
        <v>0</v>
      </c>
      <c r="E7" s="278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76" t="str">
        <f>Назви!A7</f>
        <v>Разовий страховий тариф, %</v>
      </c>
      <c r="C9" s="277">
        <f>Назви!B7</f>
        <v>0</v>
      </c>
      <c r="D9" s="277">
        <f>Назви!C7</f>
        <v>0</v>
      </c>
      <c r="E9" s="278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76" t="str">
        <f>Назви!A9</f>
        <v xml:space="preserve">Щомісячна плата за обслуговування кредитної заборгованості, % </v>
      </c>
      <c r="C11" s="277">
        <f>Назви!B9</f>
        <v>0</v>
      </c>
      <c r="D11" s="277">
        <f>Назви!C9</f>
        <v>0</v>
      </c>
      <c r="E11" s="278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76" t="str">
        <f>Назви!A11</f>
        <v>Термін кредитування (міс.)</v>
      </c>
      <c r="C13" s="277">
        <f>Назви!B11</f>
        <v>0</v>
      </c>
      <c r="D13" s="277">
        <f>Назви!C11</f>
        <v>0</v>
      </c>
      <c r="E13" s="278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9" t="str">
        <f>Назви!A14</f>
        <v>Орієнтовний платіж, грн.</v>
      </c>
      <c r="C16" s="280">
        <f>Назви!B14</f>
        <v>0</v>
      </c>
      <c r="D16" s="280">
        <f>Назви!C14</f>
        <v>0</v>
      </c>
      <c r="E16" s="281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9" t="str">
        <f>Назви!A16</f>
        <v>Орієнтовні загальні витрати за кредитом, грн.</v>
      </c>
      <c r="C18" s="280">
        <f>Назви!B16</f>
        <v>0</v>
      </c>
      <c r="D18" s="280">
        <f>Назви!C16</f>
        <v>0</v>
      </c>
      <c r="E18" s="281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9" t="str">
        <f>Назви!A18</f>
        <v>Орієнтовна загальна вартість кредиту, грн.</v>
      </c>
      <c r="C20" s="280">
        <f>Назви!B18</f>
        <v>0</v>
      </c>
      <c r="D20" s="280">
        <f>Назви!C18</f>
        <v>0</v>
      </c>
      <c r="E20" s="281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65" t="str">
        <f>Назви!A22</f>
        <v>Інший термін</v>
      </c>
      <c r="C22" s="266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56" t="s">
        <v>36</v>
      </c>
      <c r="C23" s="25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56" t="s">
        <v>37</v>
      </c>
      <c r="C24" s="25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56" t="s">
        <v>8</v>
      </c>
      <c r="C25" s="25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56"/>
      <c r="C26" s="25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58" t="str">
        <f>Назви!A29</f>
        <v>Орієнтовний порядок повернення кредиту</v>
      </c>
      <c r="C29" s="259"/>
      <c r="D29" s="259"/>
      <c r="E29" s="259"/>
      <c r="F29" s="259"/>
      <c r="G29" s="259"/>
      <c r="H29" s="26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61" t="str">
        <f>Назви!A30</f>
        <v>Місяць</v>
      </c>
      <c r="C30" s="26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1" t="str">
        <f>Назви!F30</f>
        <v>Сума платежу за розрахунковий період, грн.</v>
      </c>
      <c r="H30" s="26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45912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45942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63" t="e">
        <f t="shared" ref="G32:G91" si="4">D32+E32+F32</f>
        <v>#N/A</v>
      </c>
      <c r="H32" s="26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45973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52" t="e">
        <f t="shared" si="4"/>
        <v>#N/A</v>
      </c>
      <c r="H33" s="253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46003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52" t="e">
        <f t="shared" si="4"/>
        <v>#N/A</v>
      </c>
      <c r="H34" s="253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46034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52" t="e">
        <f t="shared" si="4"/>
        <v>#N/A</v>
      </c>
      <c r="H35" s="253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46065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52" t="e">
        <f t="shared" si="4"/>
        <v>#N/A</v>
      </c>
      <c r="H36" s="253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46093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52" t="e">
        <f t="shared" si="4"/>
        <v>#N/A</v>
      </c>
      <c r="H37" s="253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46124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52" t="e">
        <f t="shared" si="4"/>
        <v>#N/A</v>
      </c>
      <c r="H38" s="253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46154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52" t="e">
        <f t="shared" si="4"/>
        <v>#N/A</v>
      </c>
      <c r="H39" s="253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46185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52" t="e">
        <f t="shared" si="4"/>
        <v>#N/A</v>
      </c>
      <c r="H40" s="253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46215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52" t="e">
        <f t="shared" si="4"/>
        <v>#N/A</v>
      </c>
      <c r="H41" s="253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46246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52" t="e">
        <f t="shared" si="4"/>
        <v>#N/A</v>
      </c>
      <c r="H42" s="253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46277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52" t="e">
        <f t="shared" si="4"/>
        <v>#N/A</v>
      </c>
      <c r="H43" s="253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46307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52" t="e">
        <f t="shared" si="4"/>
        <v>#N/A</v>
      </c>
      <c r="H44" s="253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46338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52" t="e">
        <f t="shared" si="4"/>
        <v>#N/A</v>
      </c>
      <c r="H45" s="253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46368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52" t="e">
        <f t="shared" si="4"/>
        <v>#N/A</v>
      </c>
      <c r="H46" s="253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46399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52" t="e">
        <f t="shared" si="4"/>
        <v>#N/A</v>
      </c>
      <c r="H47" s="253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46430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52" t="e">
        <f t="shared" si="4"/>
        <v>#N/A</v>
      </c>
      <c r="H48" s="253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46458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52" t="e">
        <f t="shared" si="4"/>
        <v>#N/A</v>
      </c>
      <c r="H49" s="253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46489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52" t="e">
        <f t="shared" si="4"/>
        <v>#N/A</v>
      </c>
      <c r="H50" s="253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46519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52" t="e">
        <f t="shared" si="4"/>
        <v>#N/A</v>
      </c>
      <c r="H51" s="253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46550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52" t="e">
        <f t="shared" si="4"/>
        <v>#N/A</v>
      </c>
      <c r="H52" s="253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46580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52" t="e">
        <f t="shared" si="4"/>
        <v>#N/A</v>
      </c>
      <c r="H53" s="253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46611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52" t="e">
        <f t="shared" si="4"/>
        <v>#N/A</v>
      </c>
      <c r="H54" s="253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46642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52" t="e">
        <f t="shared" si="4"/>
        <v>#N/A</v>
      </c>
      <c r="H55" s="253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46672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52" t="e">
        <f t="shared" si="4"/>
        <v>#N/A</v>
      </c>
      <c r="H56" s="253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46703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52" t="e">
        <f t="shared" si="4"/>
        <v>#N/A</v>
      </c>
      <c r="H57" s="253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46733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52" t="e">
        <f t="shared" si="4"/>
        <v>#N/A</v>
      </c>
      <c r="H58" s="253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46764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52" t="e">
        <f t="shared" si="4"/>
        <v>#N/A</v>
      </c>
      <c r="H59" s="253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46795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52" t="e">
        <f t="shared" si="4"/>
        <v>#N/A</v>
      </c>
      <c r="H60" s="253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46824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52" t="e">
        <f t="shared" si="4"/>
        <v>#N/A</v>
      </c>
      <c r="H61" s="253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46855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52" t="e">
        <f t="shared" si="4"/>
        <v>#N/A</v>
      </c>
      <c r="H62" s="253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46885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52" t="e">
        <f t="shared" si="4"/>
        <v>#N/A</v>
      </c>
      <c r="H63" s="253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46916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52" t="e">
        <f t="shared" si="4"/>
        <v>#N/A</v>
      </c>
      <c r="H64" s="253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46946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52" t="e">
        <f t="shared" si="4"/>
        <v>#N/A</v>
      </c>
      <c r="H65" s="253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46977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52" t="e">
        <f t="shared" si="4"/>
        <v>#N/A</v>
      </c>
      <c r="H66" s="253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47008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52" t="e">
        <f t="shared" si="4"/>
        <v>#N/A</v>
      </c>
      <c r="H67" s="253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47038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52" t="e">
        <f t="shared" si="4"/>
        <v>#N/A</v>
      </c>
      <c r="H68" s="253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47069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52" t="e">
        <f t="shared" si="4"/>
        <v>#N/A</v>
      </c>
      <c r="H69" s="253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47099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52" t="e">
        <f t="shared" si="4"/>
        <v>#N/A</v>
      </c>
      <c r="H70" s="253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47130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52" t="e">
        <f t="shared" si="4"/>
        <v>#N/A</v>
      </c>
      <c r="H71" s="253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47161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52" t="e">
        <f t="shared" si="4"/>
        <v>#N/A</v>
      </c>
      <c r="H72" s="253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47189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52" t="e">
        <f t="shared" si="4"/>
        <v>#N/A</v>
      </c>
      <c r="H73" s="253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47220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52" t="e">
        <f t="shared" si="4"/>
        <v>#N/A</v>
      </c>
      <c r="H74" s="253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47250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52" t="e">
        <f t="shared" si="4"/>
        <v>#N/A</v>
      </c>
      <c r="H75" s="253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47281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52" t="e">
        <f t="shared" si="4"/>
        <v>#N/A</v>
      </c>
      <c r="H76" s="253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47311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52" t="e">
        <f t="shared" si="4"/>
        <v>#N/A</v>
      </c>
      <c r="H77" s="253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47342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52" t="e">
        <f t="shared" si="4"/>
        <v>#N/A</v>
      </c>
      <c r="H78" s="253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47373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52" t="e">
        <f t="shared" si="4"/>
        <v>#N/A</v>
      </c>
      <c r="H79" s="253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47403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52" t="e">
        <f t="shared" si="4"/>
        <v>#N/A</v>
      </c>
      <c r="H80" s="253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47434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52" t="e">
        <f t="shared" si="4"/>
        <v>#N/A</v>
      </c>
      <c r="H81" s="253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47464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52" t="e">
        <f t="shared" si="4"/>
        <v>#N/A</v>
      </c>
      <c r="H82" s="253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47495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52" t="e">
        <f t="shared" si="4"/>
        <v>#N/A</v>
      </c>
      <c r="H83" s="253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47526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52" t="e">
        <f t="shared" si="4"/>
        <v>#N/A</v>
      </c>
      <c r="H84" s="253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47554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52" t="e">
        <f t="shared" si="4"/>
        <v>#N/A</v>
      </c>
      <c r="H85" s="253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47585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52" t="e">
        <f t="shared" si="4"/>
        <v>#N/A</v>
      </c>
      <c r="H86" s="253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47615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52" t="e">
        <f t="shared" si="4"/>
        <v>#N/A</v>
      </c>
      <c r="H87" s="253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47646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52" t="e">
        <f t="shared" si="4"/>
        <v>#N/A</v>
      </c>
      <c r="H88" s="253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47676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52" t="e">
        <f t="shared" si="4"/>
        <v>#N/A</v>
      </c>
      <c r="H89" s="253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47707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52" t="e">
        <f t="shared" si="4"/>
        <v>#N/A</v>
      </c>
      <c r="H90" s="253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47738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54" t="e">
        <f t="shared" si="4"/>
        <v>#N/A</v>
      </c>
      <c r="H91" s="255"/>
      <c r="I91" s="134"/>
      <c r="J91" s="134"/>
    </row>
    <row r="92" spans="1:19" ht="16.5" thickBot="1" x14ac:dyDescent="0.25">
      <c r="A92" s="60"/>
      <c r="B92" s="247" t="s">
        <v>3</v>
      </c>
      <c r="C92" s="248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49" t="e">
        <f>SUM(G32:H91)</f>
        <v>#N/A</v>
      </c>
      <c r="H92" s="250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51" t="s">
        <v>5</v>
      </c>
      <c r="F94" s="251"/>
      <c r="G94" s="251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</mergeCells>
  <dataValidations count="1">
    <dataValidation type="list" allowBlank="1" showInputMessage="1" showErrorMessage="1" sqref="H2:I2" xr:uid="{00000000-0002-0000-0300-000000000000}">
      <formula1>$AA$9:$AA$14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6" sqref="F6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29" ht="12.75" customHeight="1" x14ac:dyDescent="0.2">
      <c r="A2" s="2"/>
      <c r="B2" s="61"/>
      <c r="C2" s="61"/>
      <c r="D2" s="61"/>
      <c r="E2" s="139" t="e">
        <f>VLOOKUP('Від 1 000 до 29 999'!H2,Лист2!A:N,14,FALSE)</f>
        <v>#N/A</v>
      </c>
      <c r="F2" s="126" t="e">
        <f>VLOOKUP(H$2,Лист2!$A:$G,2,0)</f>
        <v>#N/A</v>
      </c>
      <c r="G2" s="185">
        <f ca="1">TODAY()</f>
        <v>45912</v>
      </c>
      <c r="H2" s="267" t="s">
        <v>69</v>
      </c>
      <c r="I2" s="268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</row>
    <row r="4" spans="1:29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29" ht="21" customHeight="1" thickBot="1" x14ac:dyDescent="0.25">
      <c r="A5" s="1"/>
      <c r="B5" s="294" t="s">
        <v>82</v>
      </c>
      <c r="C5" s="295"/>
      <c r="D5" s="295"/>
      <c r="E5" s="296"/>
      <c r="F5" s="205">
        <v>10000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6" t="s">
        <v>81</v>
      </c>
      <c r="C7" s="277"/>
      <c r="D7" s="277"/>
      <c r="E7" s="278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 t="e">
        <f>VLOOKUP(H$2,Лист2!$A:$G,4,0)</f>
        <v>#N/A</v>
      </c>
      <c r="G9" s="289"/>
      <c r="H9" s="289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76" t="str">
        <f>Назви!A7</f>
        <v>Разовий страховий тариф, %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 t="e">
        <f>VLOOKUP(H$2,Лист2!$A:$G,5,0)</f>
        <v>#N/A</v>
      </c>
      <c r="G11" s="289"/>
      <c r="H11" s="289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76" t="str">
        <f>Назви!A9</f>
        <v xml:space="preserve">Щомісячна плата за обслуговування кредитної заборгованості, % </v>
      </c>
      <c r="C13" s="277">
        <f>Назви!B9</f>
        <v>0</v>
      </c>
      <c r="D13" s="277">
        <f>Назви!C9</f>
        <v>0</v>
      </c>
      <c r="E13" s="278">
        <f>Назви!D9</f>
        <v>0</v>
      </c>
      <c r="F13" s="38" t="e">
        <f>VLOOKUP(H$2,Лист2!$A:$G,6,0)</f>
        <v>#N/A</v>
      </c>
      <c r="G13" s="289"/>
      <c r="H13" s="289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76" t="str">
        <f>Назви!A11</f>
        <v>Термін кредитування (міс.)</v>
      </c>
      <c r="C15" s="277">
        <f>Назви!B11</f>
        <v>0</v>
      </c>
      <c r="D15" s="277">
        <f>Назви!C11</f>
        <v>0</v>
      </c>
      <c r="E15" s="278">
        <f>Назви!D11</f>
        <v>0</v>
      </c>
      <c r="F15" s="64" t="e">
        <f>VLOOKUP(H$2,Лист2!$A:$G,3,0)</f>
        <v>#N/A</v>
      </c>
      <c r="G15" s="289"/>
      <c r="H15" s="289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9" t="str">
        <f>Назви!A14</f>
        <v>Орієнтовний платіж, грн.</v>
      </c>
      <c r="C18" s="280">
        <f>Назви!B14</f>
        <v>0</v>
      </c>
      <c r="D18" s="280">
        <f>Назви!C14</f>
        <v>0</v>
      </c>
      <c r="E18" s="281">
        <f>Назви!D14</f>
        <v>0</v>
      </c>
      <c r="F18" s="13" t="e">
        <f>PMT(F9/12,F15,-E17)+F13*E17</f>
        <v>#N/A</v>
      </c>
      <c r="G18" s="290"/>
      <c r="H18" s="291"/>
      <c r="I18" s="133"/>
      <c r="J18" s="52"/>
      <c r="K18" s="162" t="str">
        <f>Лист2!A5</f>
        <v>Мобільний СК,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Мобільний СК,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Назви!A16</f>
        <v>Орієнтовні загальні витрати за кредитом, грн.</v>
      </c>
      <c r="C20" s="280">
        <f>Назви!B16</f>
        <v>0</v>
      </c>
      <c r="D20" s="280">
        <f>Назви!C16</f>
        <v>0</v>
      </c>
      <c r="E20" s="281">
        <f>Назви!D16</f>
        <v>0</v>
      </c>
      <c r="F20" s="13" t="e">
        <f>G89-E3</f>
        <v>#N/A</v>
      </c>
      <c r="G20" s="292"/>
      <c r="H20" s="292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>Мобільний СК, 12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Назви!A18</f>
        <v>Орієнтовна загальна вартість кредиту, грн.</v>
      </c>
      <c r="C22" s="280">
        <f>Назви!B18</f>
        <v>0</v>
      </c>
      <c r="D22" s="280">
        <f>Назви!C18</f>
        <v>0</v>
      </c>
      <c r="E22" s="281">
        <f>Назви!D18</f>
        <v>0</v>
      </c>
      <c r="F22" s="13" t="e">
        <f>E3+F20</f>
        <v>#N/A</v>
      </c>
      <c r="G22" s="289"/>
      <c r="H22" s="289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Назви!A20</f>
        <v>Реальна річна процентна ставка, %</v>
      </c>
      <c r="C24" s="280"/>
      <c r="D24" s="280"/>
      <c r="E24" s="281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8" t="str">
        <f>Назви!A29</f>
        <v>Орієнтовний порядок повернення кредиту</v>
      </c>
      <c r="C26" s="259"/>
      <c r="D26" s="259"/>
      <c r="E26" s="259"/>
      <c r="F26" s="259"/>
      <c r="G26" s="259"/>
      <c r="H26" s="26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1" t="str">
        <f>Назви!F30</f>
        <v>Сума платежу за розрахунковий період, грн.</v>
      </c>
      <c r="H27" s="26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45912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45942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85" t="e">
        <f>SUM(D29:F29)</f>
        <v>#N/A</v>
      </c>
      <c r="H29" s="285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45973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85" t="e">
        <f t="shared" ref="G30:G88" si="1">SUM(D30:F30)</f>
        <v>#N/A</v>
      </c>
      <c r="H30" s="285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46003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85" t="e">
        <f t="shared" si="1"/>
        <v>#N/A</v>
      </c>
      <c r="H31" s="285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46034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85" t="e">
        <f t="shared" si="1"/>
        <v>#N/A</v>
      </c>
      <c r="H32" s="285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46065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85" t="e">
        <f t="shared" si="1"/>
        <v>#N/A</v>
      </c>
      <c r="H33" s="285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46093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85" t="e">
        <f t="shared" si="1"/>
        <v>#N/A</v>
      </c>
      <c r="H34" s="285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46124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85" t="e">
        <f t="shared" si="1"/>
        <v>#N/A</v>
      </c>
      <c r="H35" s="285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46154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85" t="e">
        <f t="shared" si="1"/>
        <v>#N/A</v>
      </c>
      <c r="H36" s="285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46185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85" t="e">
        <f t="shared" si="1"/>
        <v>#N/A</v>
      </c>
      <c r="H37" s="285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46215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85" t="e">
        <f t="shared" si="1"/>
        <v>#N/A</v>
      </c>
      <c r="H38" s="285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46246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85" t="e">
        <f t="shared" si="1"/>
        <v>#N/A</v>
      </c>
      <c r="H39" s="285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46277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85" t="e">
        <f t="shared" si="1"/>
        <v>#N/A</v>
      </c>
      <c r="H40" s="285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46307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85" t="e">
        <f t="shared" si="1"/>
        <v>#N/A</v>
      </c>
      <c r="H41" s="285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46338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85" t="e">
        <f t="shared" si="1"/>
        <v>#N/A</v>
      </c>
      <c r="H42" s="285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46368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85" t="e">
        <f t="shared" si="1"/>
        <v>#N/A</v>
      </c>
      <c r="H43" s="285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46399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85" t="e">
        <f t="shared" si="1"/>
        <v>#N/A</v>
      </c>
      <c r="H44" s="285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46430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85" t="e">
        <f t="shared" si="1"/>
        <v>#N/A</v>
      </c>
      <c r="H45" s="285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46458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85" t="e">
        <f t="shared" si="1"/>
        <v>#N/A</v>
      </c>
      <c r="H46" s="285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46489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85" t="e">
        <f t="shared" si="1"/>
        <v>#N/A</v>
      </c>
      <c r="H47" s="285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46519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85" t="e">
        <f t="shared" si="1"/>
        <v>#N/A</v>
      </c>
      <c r="H48" s="285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46550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85" t="e">
        <f t="shared" si="1"/>
        <v>#N/A</v>
      </c>
      <c r="H49" s="285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46580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85" t="e">
        <f t="shared" si="1"/>
        <v>#N/A</v>
      </c>
      <c r="H50" s="285"/>
      <c r="I50" s="3"/>
    </row>
    <row r="51" spans="1:11" x14ac:dyDescent="0.2">
      <c r="A51" s="60">
        <v>25</v>
      </c>
      <c r="B51" s="128">
        <v>23</v>
      </c>
      <c r="C51" s="132">
        <f t="shared" ca="1" si="0"/>
        <v>46611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85" t="e">
        <f t="shared" si="1"/>
        <v>#N/A</v>
      </c>
      <c r="H51" s="285"/>
      <c r="I51" s="3"/>
    </row>
    <row r="52" spans="1:11" x14ac:dyDescent="0.2">
      <c r="A52" s="60"/>
      <c r="B52" s="128">
        <v>24</v>
      </c>
      <c r="C52" s="132">
        <f t="shared" ca="1" si="0"/>
        <v>46642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85" t="e">
        <f t="shared" si="1"/>
        <v>#N/A</v>
      </c>
      <c r="H52" s="285"/>
      <c r="I52" s="3"/>
    </row>
    <row r="53" spans="1:11" x14ac:dyDescent="0.2">
      <c r="A53" s="60"/>
      <c r="B53" s="128">
        <v>25</v>
      </c>
      <c r="C53" s="132">
        <f t="shared" ca="1" si="0"/>
        <v>46672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85" t="e">
        <f t="shared" si="1"/>
        <v>#N/A</v>
      </c>
      <c r="H53" s="285"/>
      <c r="I53" s="3"/>
    </row>
    <row r="54" spans="1:11" x14ac:dyDescent="0.2">
      <c r="A54" s="60"/>
      <c r="B54" s="128">
        <v>26</v>
      </c>
      <c r="C54" s="132">
        <f t="shared" ca="1" si="0"/>
        <v>46703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85" t="e">
        <f t="shared" si="1"/>
        <v>#N/A</v>
      </c>
      <c r="H54" s="285"/>
      <c r="I54" s="3"/>
    </row>
    <row r="55" spans="1:11" x14ac:dyDescent="0.2">
      <c r="A55" s="60"/>
      <c r="B55" s="128">
        <v>27</v>
      </c>
      <c r="C55" s="132">
        <f t="shared" ca="1" si="0"/>
        <v>46733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85" t="e">
        <f t="shared" si="1"/>
        <v>#N/A</v>
      </c>
      <c r="H55" s="285"/>
      <c r="I55" s="3"/>
    </row>
    <row r="56" spans="1:11" x14ac:dyDescent="0.2">
      <c r="A56" s="60"/>
      <c r="B56" s="128">
        <v>28</v>
      </c>
      <c r="C56" s="132">
        <f t="shared" ca="1" si="0"/>
        <v>46764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85" t="e">
        <f t="shared" si="1"/>
        <v>#N/A</v>
      </c>
      <c r="H56" s="285"/>
      <c r="I56" s="3"/>
    </row>
    <row r="57" spans="1:11" x14ac:dyDescent="0.2">
      <c r="A57" s="60"/>
      <c r="B57" s="128">
        <v>29</v>
      </c>
      <c r="C57" s="132">
        <f t="shared" ca="1" si="0"/>
        <v>46795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85" t="e">
        <f t="shared" si="1"/>
        <v>#N/A</v>
      </c>
      <c r="H57" s="285"/>
      <c r="I57" s="3"/>
    </row>
    <row r="58" spans="1:11" x14ac:dyDescent="0.2">
      <c r="A58" s="60">
        <v>25</v>
      </c>
      <c r="B58" s="128">
        <v>30</v>
      </c>
      <c r="C58" s="132">
        <f t="shared" ca="1" si="0"/>
        <v>46824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85" t="e">
        <f t="shared" si="1"/>
        <v>#N/A</v>
      </c>
      <c r="H58" s="285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46855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85" t="e">
        <f t="shared" si="1"/>
        <v>#N/A</v>
      </c>
      <c r="H59" s="285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46885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85" t="e">
        <f t="shared" si="1"/>
        <v>#N/A</v>
      </c>
      <c r="H60" s="285"/>
      <c r="I60" s="134"/>
      <c r="J60" s="134"/>
    </row>
    <row r="61" spans="1:11" x14ac:dyDescent="0.2">
      <c r="A61" s="60"/>
      <c r="B61" s="128">
        <v>33</v>
      </c>
      <c r="C61" s="132">
        <f t="shared" ca="1" si="0"/>
        <v>46916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85" t="e">
        <f t="shared" si="1"/>
        <v>#N/A</v>
      </c>
      <c r="H61" s="285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46946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85" t="e">
        <f t="shared" si="1"/>
        <v>#N/A</v>
      </c>
      <c r="H62" s="285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46977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85" t="e">
        <f t="shared" si="1"/>
        <v>#N/A</v>
      </c>
      <c r="H63" s="285"/>
      <c r="I63" s="134"/>
      <c r="J63" s="134"/>
    </row>
    <row r="64" spans="1:11" x14ac:dyDescent="0.2">
      <c r="A64" s="60"/>
      <c r="B64" s="128">
        <v>36</v>
      </c>
      <c r="C64" s="132">
        <f t="shared" ca="1" si="0"/>
        <v>47008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85" t="e">
        <f t="shared" si="1"/>
        <v>#N/A</v>
      </c>
      <c r="H64" s="285"/>
      <c r="I64" s="134"/>
      <c r="J64" s="134"/>
    </row>
    <row r="65" spans="1:10" x14ac:dyDescent="0.2">
      <c r="A65" s="60"/>
      <c r="B65" s="128">
        <v>37</v>
      </c>
      <c r="C65" s="132">
        <f t="shared" ca="1" si="0"/>
        <v>47038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85" t="e">
        <f t="shared" si="1"/>
        <v>#N/A</v>
      </c>
      <c r="H65" s="285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47069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85" t="e">
        <f t="shared" si="1"/>
        <v>#N/A</v>
      </c>
      <c r="H66" s="285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47099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85" t="e">
        <f t="shared" si="1"/>
        <v>#N/A</v>
      </c>
      <c r="H67" s="285"/>
      <c r="I67" s="134"/>
      <c r="J67" s="134"/>
    </row>
    <row r="68" spans="1:10" x14ac:dyDescent="0.2">
      <c r="A68" s="60"/>
      <c r="B68" s="128">
        <v>40</v>
      </c>
      <c r="C68" s="132">
        <f t="shared" ca="1" si="0"/>
        <v>47130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85" t="e">
        <f t="shared" si="1"/>
        <v>#N/A</v>
      </c>
      <c r="H68" s="285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47161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85" t="e">
        <f t="shared" si="1"/>
        <v>#N/A</v>
      </c>
      <c r="H69" s="285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47189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85" t="e">
        <f t="shared" si="1"/>
        <v>#N/A</v>
      </c>
      <c r="H70" s="285"/>
      <c r="I70" s="134"/>
      <c r="J70" s="134"/>
    </row>
    <row r="71" spans="1:10" x14ac:dyDescent="0.2">
      <c r="A71" s="60"/>
      <c r="B71" s="128">
        <v>43</v>
      </c>
      <c r="C71" s="132">
        <f t="shared" ca="1" si="0"/>
        <v>47220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85" t="e">
        <f t="shared" si="1"/>
        <v>#N/A</v>
      </c>
      <c r="H71" s="285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47250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85" t="e">
        <f t="shared" si="1"/>
        <v>#N/A</v>
      </c>
      <c r="H72" s="285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47281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85" t="e">
        <f t="shared" si="1"/>
        <v>#N/A</v>
      </c>
      <c r="H73" s="285"/>
      <c r="I73" s="134"/>
      <c r="J73" s="134"/>
    </row>
    <row r="74" spans="1:10" x14ac:dyDescent="0.2">
      <c r="A74" s="60"/>
      <c r="B74" s="128">
        <v>46</v>
      </c>
      <c r="C74" s="132">
        <f t="shared" ca="1" si="0"/>
        <v>47311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85" t="e">
        <f t="shared" si="1"/>
        <v>#N/A</v>
      </c>
      <c r="H74" s="285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47342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85" t="e">
        <f t="shared" si="1"/>
        <v>#N/A</v>
      </c>
      <c r="H75" s="285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47373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85" t="e">
        <f t="shared" si="1"/>
        <v>#N/A</v>
      </c>
      <c r="H76" s="285"/>
      <c r="I76" s="134"/>
      <c r="J76" s="134"/>
    </row>
    <row r="77" spans="1:10" x14ac:dyDescent="0.2">
      <c r="A77" s="60"/>
      <c r="B77" s="128">
        <v>49</v>
      </c>
      <c r="C77" s="132">
        <f t="shared" ca="1" si="0"/>
        <v>47403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85" t="e">
        <f t="shared" si="1"/>
        <v>#N/A</v>
      </c>
      <c r="H77" s="285"/>
      <c r="I77" s="134"/>
      <c r="J77" s="134"/>
    </row>
    <row r="78" spans="1:10" x14ac:dyDescent="0.2">
      <c r="A78" s="60"/>
      <c r="B78" s="128">
        <v>50</v>
      </c>
      <c r="C78" s="132">
        <f t="shared" ca="1" si="0"/>
        <v>47434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85" t="e">
        <f t="shared" si="1"/>
        <v>#N/A</v>
      </c>
      <c r="H78" s="285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47464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85" t="e">
        <f t="shared" si="1"/>
        <v>#N/A</v>
      </c>
      <c r="H79" s="285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47495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85" t="e">
        <f t="shared" si="1"/>
        <v>#N/A</v>
      </c>
      <c r="H80" s="285"/>
      <c r="I80" s="134"/>
      <c r="J80" s="134"/>
    </row>
    <row r="81" spans="1:10" x14ac:dyDescent="0.2">
      <c r="A81" s="60"/>
      <c r="B81" s="128">
        <v>53</v>
      </c>
      <c r="C81" s="132">
        <f t="shared" ca="1" si="0"/>
        <v>47526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85" t="e">
        <f t="shared" si="1"/>
        <v>#N/A</v>
      </c>
      <c r="H81" s="285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47554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85" t="e">
        <f t="shared" si="1"/>
        <v>#N/A</v>
      </c>
      <c r="H82" s="285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47585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85" t="e">
        <f t="shared" si="1"/>
        <v>#N/A</v>
      </c>
      <c r="H83" s="285"/>
      <c r="I83" s="134"/>
      <c r="J83" s="134"/>
    </row>
    <row r="84" spans="1:10" x14ac:dyDescent="0.2">
      <c r="A84" s="60"/>
      <c r="B84" s="128">
        <v>56</v>
      </c>
      <c r="C84" s="132">
        <f t="shared" ca="1" si="0"/>
        <v>47615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85" t="e">
        <f t="shared" si="1"/>
        <v>#N/A</v>
      </c>
      <c r="H84" s="285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47646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85" t="e">
        <f t="shared" si="1"/>
        <v>#N/A</v>
      </c>
      <c r="H85" s="285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47676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85" t="e">
        <f t="shared" si="1"/>
        <v>#N/A</v>
      </c>
      <c r="H86" s="285"/>
      <c r="I86" s="134"/>
      <c r="J86" s="134"/>
    </row>
    <row r="87" spans="1:10" x14ac:dyDescent="0.2">
      <c r="A87" s="60"/>
      <c r="B87" s="128">
        <v>59</v>
      </c>
      <c r="C87" s="132">
        <f t="shared" ca="1" si="0"/>
        <v>47707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85" t="e">
        <f t="shared" si="1"/>
        <v>#N/A</v>
      </c>
      <c r="H87" s="285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47738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86" t="e">
        <f t="shared" si="1"/>
        <v>#N/A</v>
      </c>
      <c r="H88" s="286"/>
      <c r="I88" s="134"/>
      <c r="J88" s="134"/>
    </row>
    <row r="89" spans="1:10" ht="16.5" thickBot="1" x14ac:dyDescent="0.25">
      <c r="A89" s="60"/>
      <c r="B89" s="247" t="s">
        <v>3</v>
      </c>
      <c r="C89" s="282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83" t="e">
        <f>SUM(G29:H88)</f>
        <v>#N/A</v>
      </c>
      <c r="H89" s="284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51" t="s">
        <v>5</v>
      </c>
      <c r="F91" s="251"/>
      <c r="G91" s="251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G28:H28"/>
    <mergeCell ref="B15:E15"/>
    <mergeCell ref="G15:H15"/>
    <mergeCell ref="B18:E18"/>
    <mergeCell ref="G18:H18"/>
    <mergeCell ref="B20:E20"/>
    <mergeCell ref="G20:H20"/>
    <mergeCell ref="B22:E22"/>
    <mergeCell ref="G22:H22"/>
    <mergeCell ref="B24:E24"/>
    <mergeCell ref="B26:H26"/>
    <mergeCell ref="G27:H27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64:H64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76:H76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B89:C89"/>
    <mergeCell ref="G89:H89"/>
    <mergeCell ref="E91:G91"/>
    <mergeCell ref="B7:E7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</mergeCells>
  <dataValidations count="1">
    <dataValidation type="list" showInputMessage="1" showErrorMessage="1" sqref="H2:I2" xr:uid="{00000000-0002-0000-0400-000000000000}">
      <formula1>$K$11:$K$17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00B0F0"/>
    <pageSetUpPr fitToPage="1"/>
  </sheetPr>
  <dimension ref="A1:AC98"/>
  <sheetViews>
    <sheetView view="pageBreakPreview" zoomScale="85" zoomScaleNormal="70" zoomScaleSheetLayoutView="8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122" customWidth="1" collapsed="1"/>
    <col min="14" max="14" width="17.140625" style="122" customWidth="1"/>
    <col min="15" max="29" width="9.140625" style="122"/>
    <col min="30" max="16384" width="9.140625" style="4"/>
  </cols>
  <sheetData>
    <row r="1" spans="1:14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14" ht="12.75" customHeight="1" x14ac:dyDescent="0.2">
      <c r="A2" s="2"/>
      <c r="B2" s="61"/>
      <c r="C2" s="61"/>
      <c r="D2" s="61"/>
      <c r="E2" s="139" t="e">
        <f>VLOOKUP('Вигідний_зі знижкою-10%'!H2,Лист2!A:N,14,FALSE)</f>
        <v>#N/A</v>
      </c>
      <c r="F2" s="126" t="e">
        <f>VLOOKUP(H$2,Лист2!$A:$G,2,0)</f>
        <v>#N/A</v>
      </c>
      <c r="G2" s="185">
        <f ca="1">TODAY()</f>
        <v>45912</v>
      </c>
      <c r="H2" s="267" t="s">
        <v>89</v>
      </c>
      <c r="I2" s="268"/>
      <c r="J2" s="50"/>
      <c r="M2" s="201"/>
      <c r="N2" s="201"/>
    </row>
    <row r="3" spans="1:14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VLOOKUP(H$2,Лист2!$A:$G,8,0)</f>
        <v>#N/A</v>
      </c>
      <c r="I3" s="272"/>
      <c r="J3" s="50"/>
    </row>
    <row r="4" spans="1:14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14" ht="21" customHeight="1" thickBot="1" x14ac:dyDescent="0.25">
      <c r="A5" s="1"/>
      <c r="B5" s="294" t="s">
        <v>82</v>
      </c>
      <c r="C5" s="295"/>
      <c r="D5" s="295"/>
      <c r="E5" s="296"/>
      <c r="F5" s="205">
        <v>30000</v>
      </c>
      <c r="G5" s="203" t="s">
        <v>31</v>
      </c>
      <c r="H5" s="204"/>
      <c r="I5" s="3"/>
      <c r="J5" s="51"/>
      <c r="K5" s="69"/>
    </row>
    <row r="6" spans="1:14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14" ht="13.9" customHeight="1" x14ac:dyDescent="0.2">
      <c r="A7" s="1"/>
      <c r="B7" s="276" t="s">
        <v>81</v>
      </c>
      <c r="C7" s="277"/>
      <c r="D7" s="277"/>
      <c r="E7" s="278"/>
      <c r="F7" s="13" t="e">
        <f>E19</f>
        <v>#N/A</v>
      </c>
      <c r="G7" s="43"/>
      <c r="H7" s="42"/>
      <c r="I7" s="2"/>
      <c r="J7" s="52"/>
      <c r="K7" s="69"/>
    </row>
    <row r="8" spans="1:14" x14ac:dyDescent="0.2">
      <c r="A8" s="1"/>
      <c r="B8" s="5"/>
      <c r="C8" s="2"/>
      <c r="D8" s="5"/>
      <c r="E8" s="2"/>
      <c r="F8" s="183" t="e">
        <f>F7-SUM(D31:D33)</f>
        <v>#N/A</v>
      </c>
      <c r="G8" s="43"/>
      <c r="H8" s="42"/>
      <c r="I8" s="2"/>
      <c r="J8" s="52"/>
      <c r="K8" s="69"/>
    </row>
    <row r="9" spans="1:14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 t="e">
        <f>VLOOKUP(H$2,Лист2!$A:$G,4,0)</f>
        <v>#N/A</v>
      </c>
      <c r="G9" s="289"/>
      <c r="H9" s="289"/>
      <c r="I9" s="3"/>
      <c r="J9" s="51"/>
      <c r="K9" s="69"/>
    </row>
    <row r="10" spans="1:14" x14ac:dyDescent="0.2">
      <c r="A10" s="1"/>
      <c r="B10" s="1"/>
      <c r="C10" s="1"/>
      <c r="D10" s="1"/>
      <c r="E10" s="1"/>
      <c r="F10" s="1"/>
      <c r="G10" s="190"/>
      <c r="H10" s="190"/>
      <c r="I10" s="3"/>
      <c r="J10" s="51"/>
      <c r="K10" s="69"/>
    </row>
    <row r="11" spans="1:14" x14ac:dyDescent="0.2">
      <c r="A11" s="1"/>
      <c r="B11" s="276" t="str">
        <f>Назви!A5</f>
        <v>Процентна ставка знижена, % річних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 t="e">
        <f>VLOOKUP(H$2,Лист2!$A:$G,5,0)</f>
        <v>#N/A</v>
      </c>
      <c r="G11" s="190"/>
      <c r="H11" s="190"/>
      <c r="I11" s="3"/>
      <c r="J11" s="51"/>
      <c r="K11" s="69"/>
    </row>
    <row r="12" spans="1:14" x14ac:dyDescent="0.2">
      <c r="A12" s="1"/>
      <c r="B12" s="5"/>
      <c r="C12" s="2"/>
      <c r="D12" s="5"/>
      <c r="E12" s="2"/>
      <c r="F12" s="111">
        <v>1.0000000000000001E-5</v>
      </c>
      <c r="G12" s="43"/>
      <c r="H12" s="42"/>
      <c r="I12" s="2"/>
      <c r="J12" s="52"/>
      <c r="K12" s="69"/>
    </row>
    <row r="13" spans="1:14" ht="12.6" customHeight="1" x14ac:dyDescent="0.2">
      <c r="A13" s="1"/>
      <c r="B13" s="276" t="str">
        <f>Назви!A7</f>
        <v>Разовий страховий тариф, %</v>
      </c>
      <c r="C13" s="277">
        <f>Назви!B7</f>
        <v>0</v>
      </c>
      <c r="D13" s="277">
        <f>Назви!C7</f>
        <v>0</v>
      </c>
      <c r="E13" s="278">
        <f>Назви!D7</f>
        <v>0</v>
      </c>
      <c r="F13" s="38" t="e">
        <f>VLOOKUP(H$2,Лист2!$A:$G,6,0)</f>
        <v>#N/A</v>
      </c>
      <c r="G13" s="289"/>
      <c r="H13" s="289"/>
      <c r="I13" s="3"/>
      <c r="J13" s="51"/>
      <c r="K13" s="162" t="e">
        <f>Лист2!#REF!</f>
        <v>#REF!</v>
      </c>
    </row>
    <row r="14" spans="1:14" ht="6.6" customHeight="1" x14ac:dyDescent="0.2">
      <c r="A14" s="1"/>
      <c r="B14" s="5"/>
      <c r="C14" s="2"/>
      <c r="D14" s="5"/>
      <c r="E14" s="2"/>
      <c r="F14" s="44"/>
      <c r="G14" s="43"/>
      <c r="H14" s="42"/>
      <c r="I14" s="2"/>
      <c r="J14" s="52"/>
      <c r="K14" s="162" t="e">
        <f>Лист2!#REF!</f>
        <v>#REF!</v>
      </c>
    </row>
    <row r="15" spans="1:14" x14ac:dyDescent="0.2">
      <c r="A15" s="1"/>
      <c r="B15" s="276" t="str">
        <f>Назви!A9</f>
        <v xml:space="preserve">Щомісячна плата за обслуговування кредитної заборгованості, % </v>
      </c>
      <c r="C15" s="277">
        <f>Назви!B9</f>
        <v>0</v>
      </c>
      <c r="D15" s="277">
        <f>Назви!C9</f>
        <v>0</v>
      </c>
      <c r="E15" s="278">
        <f>Назви!D9</f>
        <v>0</v>
      </c>
      <c r="F15" s="38" t="e">
        <f>VLOOKUP(H$2,Лист2!$A:$G,7,0)</f>
        <v>#N/A</v>
      </c>
      <c r="G15" s="289"/>
      <c r="H15" s="289"/>
      <c r="I15" s="3"/>
      <c r="J15" s="51"/>
      <c r="K15" s="162" t="e">
        <f>Лист2!#REF!</f>
        <v>#REF!</v>
      </c>
    </row>
    <row r="16" spans="1:14" ht="6.75" customHeight="1" x14ac:dyDescent="0.2">
      <c r="A16" s="1"/>
      <c r="B16" s="5"/>
      <c r="C16" s="2"/>
      <c r="D16" s="5"/>
      <c r="E16" s="2"/>
      <c r="F16" s="9"/>
      <c r="G16" s="43"/>
      <c r="H16" s="42"/>
      <c r="I16" s="2"/>
      <c r="J16" s="52"/>
      <c r="K16" s="162" t="e">
        <f>Лист2!#REF!</f>
        <v>#REF!</v>
      </c>
    </row>
    <row r="17" spans="1:29" x14ac:dyDescent="0.2">
      <c r="A17" s="1"/>
      <c r="B17" s="276" t="str">
        <f>Назви!A11</f>
        <v>Термін кредитування (міс.)</v>
      </c>
      <c r="C17" s="277">
        <f>Назви!B11</f>
        <v>0</v>
      </c>
      <c r="D17" s="277">
        <f>Назви!C11</f>
        <v>0</v>
      </c>
      <c r="E17" s="278">
        <f>Назви!D11</f>
        <v>0</v>
      </c>
      <c r="F17" s="64" t="e">
        <f>VLOOKUP(H$2,Лист2!$A:$G,3,0)</f>
        <v>#N/A</v>
      </c>
      <c r="G17" s="289"/>
      <c r="H17" s="289"/>
      <c r="I17" s="3"/>
      <c r="J17" s="51"/>
      <c r="K17" s="162" t="e">
        <f>Лист2!#REF!</f>
        <v>#REF!</v>
      </c>
    </row>
    <row r="18" spans="1:29" s="12" customFormat="1" ht="7.9" customHeight="1" x14ac:dyDescent="0.2">
      <c r="A18" s="1"/>
      <c r="B18" s="10"/>
      <c r="C18" s="59"/>
      <c r="D18" s="116"/>
      <c r="E18" s="182" t="e">
        <f>F5*F13</f>
        <v>#N/A</v>
      </c>
      <c r="F18" s="61"/>
      <c r="G18" s="120"/>
      <c r="H18" s="11"/>
      <c r="I18" s="1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11.25" customHeight="1" x14ac:dyDescent="0.2">
      <c r="A19" s="1"/>
      <c r="B19" s="10"/>
      <c r="C19" s="59"/>
      <c r="D19" s="116"/>
      <c r="E19" s="183" t="e">
        <f>E18+E3</f>
        <v>#N/A</v>
      </c>
      <c r="F19" s="61"/>
      <c r="G19" s="120"/>
      <c r="H19" s="11"/>
      <c r="I19" s="1"/>
      <c r="J19" s="124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Назви!A14</f>
        <v>Орієнтовний платіж, грн.</v>
      </c>
      <c r="C20" s="280">
        <f>Назви!B14</f>
        <v>0</v>
      </c>
      <c r="D20" s="280">
        <f>Назви!C14</f>
        <v>0</v>
      </c>
      <c r="E20" s="281">
        <f>Назви!D14</f>
        <v>0</v>
      </c>
      <c r="F20" s="13" t="e">
        <f>PMT(F9/12,F17,-E19)+F15*E19</f>
        <v>#N/A</v>
      </c>
      <c r="G20" s="290"/>
      <c r="H20" s="291"/>
      <c r="I20" s="133"/>
      <c r="J20" s="52"/>
      <c r="K20" s="162" t="str">
        <f>Лист2!A5</f>
        <v>Мобільний СК, 36 міс.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53"/>
      <c r="K21" s="162" t="str">
        <f>Лист2!A6</f>
        <v>Мобільний СК, 24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Назви!A16</f>
        <v>Орієнтовні загальні витрати за кредитом, грн.</v>
      </c>
      <c r="C22" s="280">
        <f>Назви!B16</f>
        <v>0</v>
      </c>
      <c r="D22" s="280">
        <f>Назви!C16</f>
        <v>0</v>
      </c>
      <c r="E22" s="281">
        <f>Назви!D16</f>
        <v>0</v>
      </c>
      <c r="F22" s="13" t="e">
        <f>F91-E3</f>
        <v>#N/A</v>
      </c>
      <c r="G22" s="292"/>
      <c r="H22" s="292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53"/>
      <c r="K23" s="162" t="str">
        <f>Лист2!A7</f>
        <v>Мобільний СК, 12 міс.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Назви!A18</f>
        <v>Орієнтовна загальна вартість кредиту, грн.</v>
      </c>
      <c r="C24" s="280">
        <f>Назви!B18</f>
        <v>0</v>
      </c>
      <c r="D24" s="280">
        <f>Назви!C18</f>
        <v>0</v>
      </c>
      <c r="E24" s="281">
        <f>Назви!D18</f>
        <v>0</v>
      </c>
      <c r="F24" s="13" t="e">
        <f>E3+F22</f>
        <v>#N/A</v>
      </c>
      <c r="G24" s="289"/>
      <c r="H24" s="289"/>
      <c r="I24" s="1"/>
      <c r="J24" s="53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12" customFormat="1" x14ac:dyDescent="0.2">
      <c r="A26" s="1"/>
      <c r="B26" s="279" t="str">
        <f>Назви!A20</f>
        <v>Реальна річна процентна ставка, %</v>
      </c>
      <c r="C26" s="280"/>
      <c r="D26" s="280"/>
      <c r="E26" s="281"/>
      <c r="F26" s="38" t="e">
        <f ca="1">XIRR(F30:F90,C30:C90)</f>
        <v>#N/A</v>
      </c>
      <c r="G26" s="17"/>
      <c r="H26" s="18"/>
      <c r="I26" s="1"/>
      <c r="J26" s="1"/>
      <c r="K26" s="16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s="12" customFormat="1" ht="13.5" thickBot="1" x14ac:dyDescent="0.25">
      <c r="A27" s="1"/>
      <c r="B27" s="27"/>
      <c r="C27" s="15"/>
      <c r="D27" s="130"/>
      <c r="E27" s="28"/>
      <c r="F27" s="29"/>
      <c r="G27" s="18"/>
      <c r="H27" s="17"/>
      <c r="I27" s="1"/>
      <c r="J27" s="1"/>
      <c r="K27" s="16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.75" thickBot="1" x14ac:dyDescent="0.25">
      <c r="A28" s="1"/>
      <c r="B28" s="258" t="str">
        <f>Назви!A29</f>
        <v>Орієнтовний порядок повернення кредиту</v>
      </c>
      <c r="C28" s="259"/>
      <c r="D28" s="259"/>
      <c r="E28" s="259"/>
      <c r="F28" s="259"/>
      <c r="G28" s="260"/>
      <c r="H28" s="3"/>
      <c r="I28" s="3"/>
      <c r="K28" s="162"/>
    </row>
    <row r="29" spans="1:29" ht="31.15" customHeight="1" thickBot="1" x14ac:dyDescent="0.25">
      <c r="A29" s="1"/>
      <c r="B29" s="186" t="s">
        <v>79</v>
      </c>
      <c r="C29" s="186" t="str">
        <f>Назви!A30</f>
        <v>Місяць</v>
      </c>
      <c r="D29" s="119" t="str">
        <f>Назви!C30</f>
        <v>Погашення суми кредиту, грн.</v>
      </c>
      <c r="E29" s="119" t="str">
        <f>Назви!E30</f>
        <v>Проценти за користування кредитом, грн.</v>
      </c>
      <c r="F29" s="261" t="str">
        <f>Назви!F30</f>
        <v>Сума платежу за розрахунковий період, грн.</v>
      </c>
      <c r="G29" s="262"/>
      <c r="H29" s="3"/>
      <c r="I29" s="3"/>
      <c r="J29" s="162" t="e">
        <f>Лист2!#REF!</f>
        <v>#REF!</v>
      </c>
      <c r="K29" s="162"/>
      <c r="L29" s="122"/>
      <c r="AC29" s="4"/>
    </row>
    <row r="30" spans="1:29" ht="12.6" hidden="1" customHeight="1" thickBot="1" x14ac:dyDescent="0.25">
      <c r="A30" s="1"/>
      <c r="B30" s="112">
        <v>0</v>
      </c>
      <c r="C30" s="217">
        <f ca="1">TODAY()</f>
        <v>45912</v>
      </c>
      <c r="D30" s="113"/>
      <c r="E30" s="113"/>
      <c r="F30" s="287" t="e">
        <f>-1*E3</f>
        <v>#N/A</v>
      </c>
      <c r="G30" s="288"/>
      <c r="H30" s="3"/>
      <c r="I30" s="3"/>
      <c r="J30" s="162" t="e">
        <f>Лист2!#REF!</f>
        <v>#REF!</v>
      </c>
      <c r="K30" s="162"/>
      <c r="L30" s="122"/>
      <c r="AC30" s="4"/>
    </row>
    <row r="31" spans="1:29" x14ac:dyDescent="0.2">
      <c r="A31" s="1">
        <v>1</v>
      </c>
      <c r="B31" s="129">
        <v>1</v>
      </c>
      <c r="C31" s="136">
        <f ca="1">DATE(YEAR(C30),MONTH(C30)+1,DAY(C30))</f>
        <v>45942</v>
      </c>
      <c r="D31" s="193">
        <f>IFERROR(PPMT($F$9/12,B31,$F$17,-$E$19),0)</f>
        <v>0</v>
      </c>
      <c r="E31" s="194">
        <f>IFERROR(IPMT($F$9/12,B31,$F$17,-$F$7),0)</f>
        <v>0</v>
      </c>
      <c r="F31" s="285">
        <f t="shared" ref="F31:F62" si="0">SUM(D31:E31)</f>
        <v>0</v>
      </c>
      <c r="G31" s="285"/>
      <c r="H31" s="3"/>
      <c r="I31" s="3"/>
      <c r="J31" s="162" t="e">
        <f>Лист2!#REF!</f>
        <v>#REF!</v>
      </c>
      <c r="K31" s="162"/>
      <c r="L31" s="122"/>
      <c r="AC31" s="4"/>
    </row>
    <row r="32" spans="1:29" x14ac:dyDescent="0.2">
      <c r="A32" s="1">
        <v>2</v>
      </c>
      <c r="B32" s="128">
        <v>2</v>
      </c>
      <c r="C32" s="132">
        <f t="shared" ref="C32:C90" ca="1" si="1">DATE(YEAR(C31),MONTH(C31)+1,DAY(C31))</f>
        <v>45973</v>
      </c>
      <c r="D32" s="195">
        <f t="shared" ref="D32:D90" si="2">IFERROR(PPMT($F$9/12,B32,$F$17,-$E$19),0)</f>
        <v>0</v>
      </c>
      <c r="E32" s="197">
        <f>IFERROR(IPMT($F$9/12,B32,$F$17,-$F$7),0)</f>
        <v>0</v>
      </c>
      <c r="F32" s="285">
        <f t="shared" si="0"/>
        <v>0</v>
      </c>
      <c r="G32" s="285"/>
      <c r="H32" s="3"/>
      <c r="I32" s="3"/>
      <c r="J32" s="162" t="e">
        <f>Лист2!#REF!</f>
        <v>#REF!</v>
      </c>
      <c r="K32" s="162"/>
      <c r="L32" s="122"/>
      <c r="AC32" s="4"/>
    </row>
    <row r="33" spans="1:29" x14ac:dyDescent="0.2">
      <c r="A33" s="1">
        <v>3</v>
      </c>
      <c r="B33" s="128">
        <v>3</v>
      </c>
      <c r="C33" s="132">
        <f t="shared" ca="1" si="1"/>
        <v>46003</v>
      </c>
      <c r="D33" s="195">
        <f t="shared" si="2"/>
        <v>0</v>
      </c>
      <c r="E33" s="197">
        <f>IFERROR(IPMT($F$9/12,B33,$F$17,-$F$7),0)</f>
        <v>0</v>
      </c>
      <c r="F33" s="285">
        <f t="shared" si="0"/>
        <v>0</v>
      </c>
      <c r="G33" s="285"/>
      <c r="H33" s="3"/>
      <c r="I33" s="3"/>
      <c r="J33" s="162" t="e">
        <f>Лист2!#REF!</f>
        <v>#REF!</v>
      </c>
      <c r="K33" s="218"/>
      <c r="L33" s="122"/>
      <c r="AC33" s="4"/>
    </row>
    <row r="34" spans="1:29" x14ac:dyDescent="0.2">
      <c r="A34" s="1">
        <v>4</v>
      </c>
      <c r="B34" s="128">
        <v>4</v>
      </c>
      <c r="C34" s="132">
        <f t="shared" ca="1" si="1"/>
        <v>46034</v>
      </c>
      <c r="D34" s="195">
        <f>IFERROR(PPMT($F$11/12,(B34-3),($F$17-3),-$F$8),0)</f>
        <v>0</v>
      </c>
      <c r="E34" s="197">
        <f t="shared" ref="E34:E48" si="3">IFERROR(IPMT($F$11/12,(B34-3),($F$17-3),-$F$8),0)</f>
        <v>0</v>
      </c>
      <c r="F34" s="285">
        <f t="shared" si="0"/>
        <v>0</v>
      </c>
      <c r="G34" s="285"/>
      <c r="H34" s="3"/>
      <c r="I34" s="3"/>
      <c r="J34" s="162" t="e">
        <f>Лист2!#REF!</f>
        <v>#REF!</v>
      </c>
      <c r="K34" s="162"/>
      <c r="L34" s="122"/>
      <c r="AC34" s="4"/>
    </row>
    <row r="35" spans="1:29" x14ac:dyDescent="0.2">
      <c r="A35" s="1">
        <v>5</v>
      </c>
      <c r="B35" s="128">
        <v>5</v>
      </c>
      <c r="C35" s="132">
        <f t="shared" ca="1" si="1"/>
        <v>46065</v>
      </c>
      <c r="D35" s="195">
        <f t="shared" ref="D35:D48" si="4">IFERROR(PPMT($F$11/12,(B35-3),($F$17-3),-$F$8),0)</f>
        <v>0</v>
      </c>
      <c r="E35" s="197">
        <f t="shared" si="3"/>
        <v>0</v>
      </c>
      <c r="F35" s="285">
        <f t="shared" si="0"/>
        <v>0</v>
      </c>
      <c r="G35" s="285"/>
      <c r="H35" s="3"/>
      <c r="I35" s="3"/>
      <c r="J35" s="162" t="e">
        <f>Лист2!#REF!</f>
        <v>#REF!</v>
      </c>
      <c r="K35" s="162"/>
      <c r="L35" s="122"/>
      <c r="AC35" s="4"/>
    </row>
    <row r="36" spans="1:29" x14ac:dyDescent="0.2">
      <c r="A36" s="1">
        <v>6</v>
      </c>
      <c r="B36" s="128">
        <v>6</v>
      </c>
      <c r="C36" s="132">
        <f t="shared" ca="1" si="1"/>
        <v>46093</v>
      </c>
      <c r="D36" s="195">
        <f t="shared" si="4"/>
        <v>0</v>
      </c>
      <c r="E36" s="197">
        <f t="shared" si="3"/>
        <v>0</v>
      </c>
      <c r="F36" s="285">
        <f t="shared" si="0"/>
        <v>0</v>
      </c>
      <c r="G36" s="285"/>
      <c r="H36" s="3"/>
      <c r="I36" s="3"/>
      <c r="J36" s="162" t="e">
        <f>Лист2!#REF!</f>
        <v>#REF!</v>
      </c>
      <c r="K36" s="162"/>
      <c r="L36" s="122"/>
      <c r="AC36" s="4"/>
    </row>
    <row r="37" spans="1:29" x14ac:dyDescent="0.2">
      <c r="A37" s="1">
        <v>7</v>
      </c>
      <c r="B37" s="128">
        <v>7</v>
      </c>
      <c r="C37" s="132">
        <f t="shared" ca="1" si="1"/>
        <v>46124</v>
      </c>
      <c r="D37" s="195">
        <f t="shared" si="4"/>
        <v>0</v>
      </c>
      <c r="E37" s="197">
        <f t="shared" si="3"/>
        <v>0</v>
      </c>
      <c r="F37" s="285">
        <f t="shared" si="0"/>
        <v>0</v>
      </c>
      <c r="G37" s="285"/>
      <c r="H37" s="3"/>
      <c r="I37" s="3"/>
      <c r="J37" s="162" t="e">
        <f>Лист2!#REF!</f>
        <v>#REF!</v>
      </c>
      <c r="K37" s="162"/>
      <c r="L37" s="122"/>
      <c r="AC37" s="4"/>
    </row>
    <row r="38" spans="1:29" x14ac:dyDescent="0.2">
      <c r="A38" s="1">
        <v>8</v>
      </c>
      <c r="B38" s="128">
        <v>8</v>
      </c>
      <c r="C38" s="132">
        <f t="shared" ca="1" si="1"/>
        <v>46154</v>
      </c>
      <c r="D38" s="195">
        <f t="shared" si="4"/>
        <v>0</v>
      </c>
      <c r="E38" s="197">
        <f t="shared" si="3"/>
        <v>0</v>
      </c>
      <c r="F38" s="285">
        <f t="shared" si="0"/>
        <v>0</v>
      </c>
      <c r="G38" s="285"/>
      <c r="H38" s="3"/>
      <c r="I38" s="3"/>
      <c r="J38" s="162" t="e">
        <f>Лист2!#REF!</f>
        <v>#REF!</v>
      </c>
      <c r="K38" s="162"/>
      <c r="L38" s="122"/>
      <c r="AC38" s="4"/>
    </row>
    <row r="39" spans="1:29" x14ac:dyDescent="0.2">
      <c r="A39" s="1">
        <v>9</v>
      </c>
      <c r="B39" s="128">
        <v>9</v>
      </c>
      <c r="C39" s="132">
        <f t="shared" ca="1" si="1"/>
        <v>46185</v>
      </c>
      <c r="D39" s="195">
        <f t="shared" si="4"/>
        <v>0</v>
      </c>
      <c r="E39" s="197">
        <f t="shared" si="3"/>
        <v>0</v>
      </c>
      <c r="F39" s="285">
        <f t="shared" si="0"/>
        <v>0</v>
      </c>
      <c r="G39" s="285"/>
      <c r="H39" s="3"/>
      <c r="I39" s="3"/>
      <c r="J39" s="162" t="e">
        <f>Лист2!#REF!</f>
        <v>#REF!</v>
      </c>
      <c r="K39" s="162"/>
      <c r="L39" s="122"/>
      <c r="AC39" s="4"/>
    </row>
    <row r="40" spans="1:29" x14ac:dyDescent="0.2">
      <c r="A40" s="1">
        <v>10</v>
      </c>
      <c r="B40" s="128">
        <v>10</v>
      </c>
      <c r="C40" s="132">
        <f t="shared" ca="1" si="1"/>
        <v>46215</v>
      </c>
      <c r="D40" s="195">
        <f t="shared" si="4"/>
        <v>0</v>
      </c>
      <c r="E40" s="197">
        <f t="shared" si="3"/>
        <v>0</v>
      </c>
      <c r="F40" s="285">
        <f t="shared" si="0"/>
        <v>0</v>
      </c>
      <c r="G40" s="285"/>
      <c r="H40" s="3"/>
      <c r="I40" s="3"/>
      <c r="J40" s="162" t="e">
        <f>Лист2!#REF!</f>
        <v>#REF!</v>
      </c>
      <c r="K40" s="162"/>
      <c r="L40" s="122"/>
      <c r="AC40" s="4"/>
    </row>
    <row r="41" spans="1:29" x14ac:dyDescent="0.2">
      <c r="A41" s="1">
        <v>22</v>
      </c>
      <c r="B41" s="128">
        <v>11</v>
      </c>
      <c r="C41" s="132">
        <f t="shared" ca="1" si="1"/>
        <v>46246</v>
      </c>
      <c r="D41" s="195">
        <f t="shared" si="4"/>
        <v>0</v>
      </c>
      <c r="E41" s="197">
        <f t="shared" si="3"/>
        <v>0</v>
      </c>
      <c r="F41" s="285">
        <f t="shared" si="0"/>
        <v>0</v>
      </c>
      <c r="G41" s="285"/>
      <c r="H41" s="3"/>
      <c r="I41" s="3"/>
      <c r="J41" s="162" t="e">
        <f>Лист2!#REF!</f>
        <v>#REF!</v>
      </c>
      <c r="K41" s="162"/>
      <c r="L41" s="122"/>
      <c r="AC41" s="4"/>
    </row>
    <row r="42" spans="1:29" x14ac:dyDescent="0.2">
      <c r="A42" s="1">
        <v>22</v>
      </c>
      <c r="B42" s="128">
        <v>12</v>
      </c>
      <c r="C42" s="132">
        <f t="shared" ca="1" si="1"/>
        <v>46277</v>
      </c>
      <c r="D42" s="195">
        <f t="shared" si="4"/>
        <v>0</v>
      </c>
      <c r="E42" s="197">
        <f t="shared" si="3"/>
        <v>0</v>
      </c>
      <c r="F42" s="285">
        <f t="shared" si="0"/>
        <v>0</v>
      </c>
      <c r="G42" s="285"/>
      <c r="H42" s="3"/>
      <c r="I42" s="3"/>
      <c r="J42" s="162" t="e">
        <f>Лист2!#REF!</f>
        <v>#REF!</v>
      </c>
      <c r="K42" s="162"/>
      <c r="L42" s="122"/>
      <c r="AC42" s="4"/>
    </row>
    <row r="43" spans="1:29" x14ac:dyDescent="0.2">
      <c r="A43" s="1">
        <v>13</v>
      </c>
      <c r="B43" s="128">
        <v>13</v>
      </c>
      <c r="C43" s="132">
        <f t="shared" ca="1" si="1"/>
        <v>46307</v>
      </c>
      <c r="D43" s="195">
        <f t="shared" si="4"/>
        <v>0</v>
      </c>
      <c r="E43" s="197">
        <f t="shared" si="3"/>
        <v>0</v>
      </c>
      <c r="F43" s="285">
        <f t="shared" si="0"/>
        <v>0</v>
      </c>
      <c r="G43" s="285"/>
      <c r="H43" s="3"/>
      <c r="I43" s="3"/>
      <c r="J43" s="162" t="e">
        <f>Лист2!#REF!</f>
        <v>#REF!</v>
      </c>
      <c r="K43" s="162"/>
      <c r="L43" s="122"/>
      <c r="AC43" s="4"/>
    </row>
    <row r="44" spans="1:29" x14ac:dyDescent="0.2">
      <c r="A44" s="1">
        <v>14</v>
      </c>
      <c r="B44" s="128">
        <v>14</v>
      </c>
      <c r="C44" s="132">
        <f t="shared" ca="1" si="1"/>
        <v>46338</v>
      </c>
      <c r="D44" s="195">
        <f t="shared" si="4"/>
        <v>0</v>
      </c>
      <c r="E44" s="197">
        <f t="shared" si="3"/>
        <v>0</v>
      </c>
      <c r="F44" s="285">
        <f t="shared" si="0"/>
        <v>0</v>
      </c>
      <c r="G44" s="285"/>
      <c r="H44" s="3"/>
      <c r="I44" s="3"/>
      <c r="J44" s="162" t="e">
        <f>Лист2!#REF!</f>
        <v>#REF!</v>
      </c>
      <c r="K44" s="162"/>
      <c r="L44" s="122"/>
      <c r="AC44" s="4"/>
    </row>
    <row r="45" spans="1:29" x14ac:dyDescent="0.2">
      <c r="A45" s="1">
        <v>15</v>
      </c>
      <c r="B45" s="128">
        <v>15</v>
      </c>
      <c r="C45" s="132">
        <f t="shared" ca="1" si="1"/>
        <v>46368</v>
      </c>
      <c r="D45" s="195">
        <f t="shared" si="4"/>
        <v>0</v>
      </c>
      <c r="E45" s="197">
        <f t="shared" si="3"/>
        <v>0</v>
      </c>
      <c r="F45" s="285">
        <f t="shared" si="0"/>
        <v>0</v>
      </c>
      <c r="G45" s="285"/>
      <c r="H45" s="3"/>
      <c r="I45" s="3"/>
      <c r="J45" s="162" t="e">
        <f>Лист2!#REF!</f>
        <v>#REF!</v>
      </c>
      <c r="K45" s="162"/>
      <c r="L45" s="122"/>
      <c r="AC45" s="4"/>
    </row>
    <row r="46" spans="1:29" x14ac:dyDescent="0.2">
      <c r="A46" s="1">
        <v>16</v>
      </c>
      <c r="B46" s="128">
        <v>16</v>
      </c>
      <c r="C46" s="132">
        <f t="shared" ca="1" si="1"/>
        <v>46399</v>
      </c>
      <c r="D46" s="195">
        <f t="shared" si="4"/>
        <v>0</v>
      </c>
      <c r="E46" s="197">
        <f t="shared" si="3"/>
        <v>0</v>
      </c>
      <c r="F46" s="285">
        <f t="shared" si="0"/>
        <v>0</v>
      </c>
      <c r="G46" s="285"/>
      <c r="H46" s="3"/>
      <c r="I46" s="3"/>
      <c r="J46" s="162" t="e">
        <f>Лист2!#REF!</f>
        <v>#REF!</v>
      </c>
      <c r="K46" s="162"/>
      <c r="L46" s="122"/>
      <c r="AC46" s="4"/>
    </row>
    <row r="47" spans="1:29" x14ac:dyDescent="0.2">
      <c r="A47" s="1">
        <v>22</v>
      </c>
      <c r="B47" s="128">
        <v>17</v>
      </c>
      <c r="C47" s="132">
        <f t="shared" ca="1" si="1"/>
        <v>46430</v>
      </c>
      <c r="D47" s="195">
        <f t="shared" si="4"/>
        <v>0</v>
      </c>
      <c r="E47" s="197">
        <f t="shared" si="3"/>
        <v>0</v>
      </c>
      <c r="F47" s="285">
        <f t="shared" si="0"/>
        <v>0</v>
      </c>
      <c r="G47" s="285"/>
      <c r="H47" s="3"/>
      <c r="I47" s="3"/>
      <c r="J47" s="162"/>
      <c r="K47" s="162"/>
      <c r="L47" s="122"/>
      <c r="AC47" s="4"/>
    </row>
    <row r="48" spans="1:29" x14ac:dyDescent="0.2">
      <c r="A48" s="1">
        <v>22</v>
      </c>
      <c r="B48" s="128">
        <v>18</v>
      </c>
      <c r="C48" s="132">
        <f t="shared" ca="1" si="1"/>
        <v>46458</v>
      </c>
      <c r="D48" s="195">
        <f t="shared" si="4"/>
        <v>0</v>
      </c>
      <c r="E48" s="197">
        <f t="shared" si="3"/>
        <v>0</v>
      </c>
      <c r="F48" s="285">
        <f t="shared" si="0"/>
        <v>0</v>
      </c>
      <c r="G48" s="285"/>
      <c r="H48" s="3"/>
      <c r="I48" s="3"/>
      <c r="J48" s="162"/>
      <c r="L48" s="122"/>
      <c r="AC48" s="4"/>
    </row>
    <row r="49" spans="1:29" x14ac:dyDescent="0.2">
      <c r="A49" s="1">
        <v>19</v>
      </c>
      <c r="B49" s="128">
        <v>19</v>
      </c>
      <c r="C49" s="132">
        <f t="shared" ca="1" si="1"/>
        <v>46489</v>
      </c>
      <c r="D49" s="195">
        <f t="shared" si="2"/>
        <v>0</v>
      </c>
      <c r="E49" s="197">
        <f t="shared" ref="E49:E90" si="5">IFERROR(IPMT($F$9/12,B49,$F$17,-$F$7),0)</f>
        <v>0</v>
      </c>
      <c r="F49" s="285">
        <f t="shared" si="0"/>
        <v>0</v>
      </c>
      <c r="G49" s="285"/>
      <c r="H49" s="3"/>
      <c r="I49" s="3"/>
      <c r="J49" s="162"/>
      <c r="L49" s="122"/>
      <c r="AC49" s="4"/>
    </row>
    <row r="50" spans="1:29" x14ac:dyDescent="0.2">
      <c r="A50" s="1">
        <v>20</v>
      </c>
      <c r="B50" s="128">
        <v>20</v>
      </c>
      <c r="C50" s="132">
        <f t="shared" ca="1" si="1"/>
        <v>46519</v>
      </c>
      <c r="D50" s="195">
        <f t="shared" si="2"/>
        <v>0</v>
      </c>
      <c r="E50" s="197">
        <f t="shared" si="5"/>
        <v>0</v>
      </c>
      <c r="F50" s="285">
        <f t="shared" si="0"/>
        <v>0</v>
      </c>
      <c r="G50" s="285"/>
      <c r="H50" s="3"/>
      <c r="I50" s="3"/>
      <c r="J50" s="162"/>
      <c r="L50" s="122"/>
      <c r="AC50" s="4"/>
    </row>
    <row r="51" spans="1:29" x14ac:dyDescent="0.2">
      <c r="A51" s="60">
        <v>21</v>
      </c>
      <c r="B51" s="128">
        <v>21</v>
      </c>
      <c r="C51" s="132">
        <f t="shared" ca="1" si="1"/>
        <v>46550</v>
      </c>
      <c r="D51" s="195">
        <f t="shared" si="2"/>
        <v>0</v>
      </c>
      <c r="E51" s="197">
        <f t="shared" si="5"/>
        <v>0</v>
      </c>
      <c r="F51" s="285">
        <f t="shared" si="0"/>
        <v>0</v>
      </c>
      <c r="G51" s="285"/>
      <c r="H51" s="3"/>
      <c r="I51" s="3"/>
      <c r="J51" s="162"/>
      <c r="L51" s="122"/>
      <c r="AC51" s="4"/>
    </row>
    <row r="52" spans="1:29" x14ac:dyDescent="0.2">
      <c r="A52" s="60">
        <v>22</v>
      </c>
      <c r="B52" s="128">
        <v>22</v>
      </c>
      <c r="C52" s="132">
        <f t="shared" ca="1" si="1"/>
        <v>46580</v>
      </c>
      <c r="D52" s="195">
        <f t="shared" si="2"/>
        <v>0</v>
      </c>
      <c r="E52" s="197">
        <f t="shared" si="5"/>
        <v>0</v>
      </c>
      <c r="F52" s="285">
        <f t="shared" si="0"/>
        <v>0</v>
      </c>
      <c r="G52" s="285"/>
      <c r="H52" s="3"/>
      <c r="I52" s="3"/>
      <c r="J52" s="4"/>
      <c r="L52" s="122"/>
      <c r="AC52" s="4"/>
    </row>
    <row r="53" spans="1:29" x14ac:dyDescent="0.2">
      <c r="A53" s="60">
        <v>25</v>
      </c>
      <c r="B53" s="128">
        <v>23</v>
      </c>
      <c r="C53" s="132">
        <f t="shared" ca="1" si="1"/>
        <v>46611</v>
      </c>
      <c r="D53" s="195">
        <f t="shared" si="2"/>
        <v>0</v>
      </c>
      <c r="E53" s="197">
        <f t="shared" si="5"/>
        <v>0</v>
      </c>
      <c r="F53" s="285">
        <f t="shared" si="0"/>
        <v>0</v>
      </c>
      <c r="G53" s="285"/>
      <c r="H53" s="3"/>
      <c r="I53" s="3"/>
      <c r="J53" s="4"/>
      <c r="L53" s="122"/>
      <c r="AC53" s="4"/>
    </row>
    <row r="54" spans="1:29" x14ac:dyDescent="0.2">
      <c r="A54" s="60"/>
      <c r="B54" s="128">
        <v>24</v>
      </c>
      <c r="C54" s="132">
        <f t="shared" ca="1" si="1"/>
        <v>46642</v>
      </c>
      <c r="D54" s="195">
        <f t="shared" si="2"/>
        <v>0</v>
      </c>
      <c r="E54" s="197">
        <f t="shared" si="5"/>
        <v>0</v>
      </c>
      <c r="F54" s="285">
        <f t="shared" si="0"/>
        <v>0</v>
      </c>
      <c r="G54" s="285"/>
      <c r="H54" s="3"/>
      <c r="I54" s="3"/>
      <c r="J54" s="4"/>
      <c r="L54" s="122"/>
      <c r="AC54" s="4"/>
    </row>
    <row r="55" spans="1:29" x14ac:dyDescent="0.2">
      <c r="A55" s="60"/>
      <c r="B55" s="128">
        <v>25</v>
      </c>
      <c r="C55" s="132">
        <f t="shared" ca="1" si="1"/>
        <v>46672</v>
      </c>
      <c r="D55" s="195">
        <f t="shared" si="2"/>
        <v>0</v>
      </c>
      <c r="E55" s="197">
        <f t="shared" si="5"/>
        <v>0</v>
      </c>
      <c r="F55" s="285">
        <f t="shared" si="0"/>
        <v>0</v>
      </c>
      <c r="G55" s="285"/>
      <c r="H55" s="3"/>
      <c r="I55" s="3"/>
      <c r="J55" s="4"/>
      <c r="L55" s="122"/>
      <c r="AC55" s="4"/>
    </row>
    <row r="56" spans="1:29" x14ac:dyDescent="0.2">
      <c r="A56" s="60"/>
      <c r="B56" s="128">
        <v>26</v>
      </c>
      <c r="C56" s="132">
        <f t="shared" ca="1" si="1"/>
        <v>46703</v>
      </c>
      <c r="D56" s="195">
        <f t="shared" si="2"/>
        <v>0</v>
      </c>
      <c r="E56" s="197">
        <f t="shared" si="5"/>
        <v>0</v>
      </c>
      <c r="F56" s="285">
        <f t="shared" si="0"/>
        <v>0</v>
      </c>
      <c r="G56" s="285"/>
      <c r="H56" s="3"/>
      <c r="I56" s="3"/>
      <c r="J56" s="4"/>
      <c r="L56" s="122"/>
      <c r="AC56" s="4"/>
    </row>
    <row r="57" spans="1:29" x14ac:dyDescent="0.2">
      <c r="A57" s="60"/>
      <c r="B57" s="128">
        <v>27</v>
      </c>
      <c r="C57" s="132">
        <f t="shared" ca="1" si="1"/>
        <v>46733</v>
      </c>
      <c r="D57" s="195">
        <f t="shared" si="2"/>
        <v>0</v>
      </c>
      <c r="E57" s="197">
        <f t="shared" si="5"/>
        <v>0</v>
      </c>
      <c r="F57" s="285">
        <f t="shared" si="0"/>
        <v>0</v>
      </c>
      <c r="G57" s="285"/>
      <c r="H57" s="3"/>
      <c r="I57" s="3"/>
      <c r="J57" s="4"/>
      <c r="L57" s="122"/>
      <c r="AC57" s="4"/>
    </row>
    <row r="58" spans="1:29" x14ac:dyDescent="0.2">
      <c r="A58" s="60"/>
      <c r="B58" s="128">
        <v>28</v>
      </c>
      <c r="C58" s="132">
        <f t="shared" ca="1" si="1"/>
        <v>46764</v>
      </c>
      <c r="D58" s="195">
        <f t="shared" si="2"/>
        <v>0</v>
      </c>
      <c r="E58" s="197">
        <f t="shared" si="5"/>
        <v>0</v>
      </c>
      <c r="F58" s="285">
        <f t="shared" si="0"/>
        <v>0</v>
      </c>
      <c r="G58" s="285"/>
      <c r="H58" s="3"/>
      <c r="I58" s="3"/>
      <c r="J58" s="4"/>
      <c r="L58" s="122"/>
      <c r="AC58" s="4"/>
    </row>
    <row r="59" spans="1:29" x14ac:dyDescent="0.2">
      <c r="A59" s="60"/>
      <c r="B59" s="128">
        <v>29</v>
      </c>
      <c r="C59" s="132">
        <f t="shared" ca="1" si="1"/>
        <v>46795</v>
      </c>
      <c r="D59" s="195">
        <f t="shared" si="2"/>
        <v>0</v>
      </c>
      <c r="E59" s="197">
        <f t="shared" si="5"/>
        <v>0</v>
      </c>
      <c r="F59" s="285">
        <f t="shared" si="0"/>
        <v>0</v>
      </c>
      <c r="G59" s="285"/>
      <c r="H59" s="3"/>
      <c r="I59" s="3"/>
      <c r="J59" s="4"/>
      <c r="L59" s="122"/>
      <c r="AC59" s="4"/>
    </row>
    <row r="60" spans="1:29" x14ac:dyDescent="0.2">
      <c r="A60" s="60">
        <v>25</v>
      </c>
      <c r="B60" s="128">
        <v>30</v>
      </c>
      <c r="C60" s="132">
        <f t="shared" ca="1" si="1"/>
        <v>46824</v>
      </c>
      <c r="D60" s="195">
        <f t="shared" si="2"/>
        <v>0</v>
      </c>
      <c r="E60" s="197">
        <f t="shared" si="5"/>
        <v>0</v>
      </c>
      <c r="F60" s="285">
        <f t="shared" si="0"/>
        <v>0</v>
      </c>
      <c r="G60" s="285"/>
      <c r="H60" s="134"/>
      <c r="I60" s="134"/>
      <c r="J60" s="4"/>
      <c r="L60" s="122"/>
      <c r="AC60" s="4"/>
    </row>
    <row r="61" spans="1:29" x14ac:dyDescent="0.2">
      <c r="A61" s="60"/>
      <c r="B61" s="128">
        <v>31</v>
      </c>
      <c r="C61" s="132">
        <f t="shared" ca="1" si="1"/>
        <v>46855</v>
      </c>
      <c r="D61" s="195">
        <f t="shared" si="2"/>
        <v>0</v>
      </c>
      <c r="E61" s="197">
        <f t="shared" si="5"/>
        <v>0</v>
      </c>
      <c r="F61" s="285">
        <f t="shared" si="0"/>
        <v>0</v>
      </c>
      <c r="G61" s="285"/>
      <c r="H61" s="134"/>
      <c r="I61" s="134"/>
      <c r="J61" s="4"/>
      <c r="L61" s="122"/>
      <c r="AC61" s="4"/>
    </row>
    <row r="62" spans="1:29" x14ac:dyDescent="0.2">
      <c r="A62" s="60"/>
      <c r="B62" s="128">
        <v>32</v>
      </c>
      <c r="C62" s="132">
        <f t="shared" ca="1" si="1"/>
        <v>46885</v>
      </c>
      <c r="D62" s="195">
        <f t="shared" si="2"/>
        <v>0</v>
      </c>
      <c r="E62" s="197">
        <f t="shared" si="5"/>
        <v>0</v>
      </c>
      <c r="F62" s="285">
        <f t="shared" si="0"/>
        <v>0</v>
      </c>
      <c r="G62" s="285"/>
      <c r="H62" s="134"/>
      <c r="I62" s="134"/>
      <c r="J62" s="4"/>
      <c r="L62" s="122"/>
      <c r="AC62" s="4"/>
    </row>
    <row r="63" spans="1:29" x14ac:dyDescent="0.2">
      <c r="A63" s="60"/>
      <c r="B63" s="128">
        <v>33</v>
      </c>
      <c r="C63" s="132">
        <f t="shared" ca="1" si="1"/>
        <v>46916</v>
      </c>
      <c r="D63" s="195">
        <f t="shared" si="2"/>
        <v>0</v>
      </c>
      <c r="E63" s="197">
        <f t="shared" si="5"/>
        <v>0</v>
      </c>
      <c r="F63" s="285">
        <f t="shared" ref="F63:F90" si="6">SUM(D63:E63)</f>
        <v>0</v>
      </c>
      <c r="G63" s="285"/>
      <c r="H63" s="134"/>
      <c r="I63" s="134"/>
      <c r="J63" s="4"/>
      <c r="L63" s="122"/>
      <c r="AC63" s="4"/>
    </row>
    <row r="64" spans="1:29" x14ac:dyDescent="0.2">
      <c r="A64" s="60"/>
      <c r="B64" s="128">
        <v>34</v>
      </c>
      <c r="C64" s="132">
        <f t="shared" ca="1" si="1"/>
        <v>46946</v>
      </c>
      <c r="D64" s="195">
        <f t="shared" si="2"/>
        <v>0</v>
      </c>
      <c r="E64" s="197">
        <f t="shared" si="5"/>
        <v>0</v>
      </c>
      <c r="F64" s="285">
        <f t="shared" si="6"/>
        <v>0</v>
      </c>
      <c r="G64" s="285"/>
      <c r="H64" s="134"/>
      <c r="I64" s="134"/>
      <c r="J64" s="4"/>
      <c r="L64" s="122"/>
      <c r="AC64" s="4"/>
    </row>
    <row r="65" spans="1:29" x14ac:dyDescent="0.2">
      <c r="A65" s="60"/>
      <c r="B65" s="128">
        <v>35</v>
      </c>
      <c r="C65" s="132">
        <f t="shared" ca="1" si="1"/>
        <v>46977</v>
      </c>
      <c r="D65" s="195">
        <f t="shared" si="2"/>
        <v>0</v>
      </c>
      <c r="E65" s="197">
        <f t="shared" si="5"/>
        <v>0</v>
      </c>
      <c r="F65" s="285">
        <f t="shared" si="6"/>
        <v>0</v>
      </c>
      <c r="G65" s="285"/>
      <c r="H65" s="134"/>
      <c r="I65" s="134"/>
      <c r="J65" s="4"/>
      <c r="L65" s="122"/>
      <c r="AC65" s="4"/>
    </row>
    <row r="66" spans="1:29" x14ac:dyDescent="0.2">
      <c r="A66" s="60"/>
      <c r="B66" s="128">
        <v>36</v>
      </c>
      <c r="C66" s="132">
        <f t="shared" ca="1" si="1"/>
        <v>47008</v>
      </c>
      <c r="D66" s="195">
        <f t="shared" si="2"/>
        <v>0</v>
      </c>
      <c r="E66" s="197">
        <f t="shared" si="5"/>
        <v>0</v>
      </c>
      <c r="F66" s="285">
        <f t="shared" si="6"/>
        <v>0</v>
      </c>
      <c r="G66" s="285"/>
      <c r="H66" s="134"/>
      <c r="I66" s="134"/>
      <c r="J66" s="4"/>
      <c r="L66" s="122"/>
      <c r="AC66" s="4"/>
    </row>
    <row r="67" spans="1:29" x14ac:dyDescent="0.2">
      <c r="A67" s="60"/>
      <c r="B67" s="128">
        <v>37</v>
      </c>
      <c r="C67" s="132">
        <f t="shared" ca="1" si="1"/>
        <v>47038</v>
      </c>
      <c r="D67" s="195">
        <f t="shared" si="2"/>
        <v>0</v>
      </c>
      <c r="E67" s="197">
        <f t="shared" si="5"/>
        <v>0</v>
      </c>
      <c r="F67" s="285">
        <f t="shared" si="6"/>
        <v>0</v>
      </c>
      <c r="G67" s="285"/>
      <c r="H67" s="134"/>
      <c r="I67" s="134"/>
      <c r="J67" s="4"/>
      <c r="L67" s="122"/>
      <c r="AC67" s="4"/>
    </row>
    <row r="68" spans="1:29" x14ac:dyDescent="0.2">
      <c r="A68" s="60"/>
      <c r="B68" s="128">
        <v>38</v>
      </c>
      <c r="C68" s="132">
        <f t="shared" ca="1" si="1"/>
        <v>47069</v>
      </c>
      <c r="D68" s="195">
        <f t="shared" si="2"/>
        <v>0</v>
      </c>
      <c r="E68" s="197">
        <f t="shared" si="5"/>
        <v>0</v>
      </c>
      <c r="F68" s="285">
        <f t="shared" si="6"/>
        <v>0</v>
      </c>
      <c r="G68" s="285"/>
      <c r="H68" s="134"/>
      <c r="I68" s="134"/>
      <c r="J68" s="4"/>
      <c r="L68" s="122"/>
      <c r="AC68" s="4"/>
    </row>
    <row r="69" spans="1:29" x14ac:dyDescent="0.2">
      <c r="A69" s="60"/>
      <c r="B69" s="128">
        <v>39</v>
      </c>
      <c r="C69" s="132">
        <f t="shared" ca="1" si="1"/>
        <v>47099</v>
      </c>
      <c r="D69" s="195">
        <f t="shared" si="2"/>
        <v>0</v>
      </c>
      <c r="E69" s="197">
        <f t="shared" si="5"/>
        <v>0</v>
      </c>
      <c r="F69" s="285">
        <f t="shared" si="6"/>
        <v>0</v>
      </c>
      <c r="G69" s="285"/>
      <c r="H69" s="134"/>
      <c r="I69" s="134"/>
      <c r="J69" s="4"/>
      <c r="L69" s="122"/>
      <c r="AC69" s="4"/>
    </row>
    <row r="70" spans="1:29" x14ac:dyDescent="0.2">
      <c r="A70" s="60"/>
      <c r="B70" s="128">
        <v>40</v>
      </c>
      <c r="C70" s="132">
        <f t="shared" ca="1" si="1"/>
        <v>47130</v>
      </c>
      <c r="D70" s="195">
        <f t="shared" si="2"/>
        <v>0</v>
      </c>
      <c r="E70" s="197">
        <f t="shared" si="5"/>
        <v>0</v>
      </c>
      <c r="F70" s="285">
        <f t="shared" si="6"/>
        <v>0</v>
      </c>
      <c r="G70" s="285"/>
      <c r="H70" s="134"/>
      <c r="I70" s="134"/>
      <c r="J70" s="4"/>
      <c r="L70" s="122"/>
      <c r="AC70" s="4"/>
    </row>
    <row r="71" spans="1:29" x14ac:dyDescent="0.2">
      <c r="A71" s="60"/>
      <c r="B71" s="128">
        <v>41</v>
      </c>
      <c r="C71" s="132">
        <f t="shared" ca="1" si="1"/>
        <v>47161</v>
      </c>
      <c r="D71" s="195">
        <f t="shared" si="2"/>
        <v>0</v>
      </c>
      <c r="E71" s="197">
        <f t="shared" si="5"/>
        <v>0</v>
      </c>
      <c r="F71" s="285">
        <f t="shared" si="6"/>
        <v>0</v>
      </c>
      <c r="G71" s="285"/>
      <c r="H71" s="134"/>
      <c r="I71" s="134"/>
      <c r="J71" s="4"/>
      <c r="L71" s="122"/>
      <c r="AC71" s="4"/>
    </row>
    <row r="72" spans="1:29" x14ac:dyDescent="0.2">
      <c r="A72" s="60"/>
      <c r="B72" s="128">
        <v>42</v>
      </c>
      <c r="C72" s="132">
        <f t="shared" ca="1" si="1"/>
        <v>47189</v>
      </c>
      <c r="D72" s="195">
        <f t="shared" si="2"/>
        <v>0</v>
      </c>
      <c r="E72" s="197">
        <f t="shared" si="5"/>
        <v>0</v>
      </c>
      <c r="F72" s="285">
        <f t="shared" si="6"/>
        <v>0</v>
      </c>
      <c r="G72" s="285"/>
      <c r="H72" s="134"/>
      <c r="I72" s="134"/>
      <c r="J72" s="4"/>
      <c r="L72" s="122"/>
      <c r="AC72" s="4"/>
    </row>
    <row r="73" spans="1:29" x14ac:dyDescent="0.2">
      <c r="A73" s="60"/>
      <c r="B73" s="128">
        <v>43</v>
      </c>
      <c r="C73" s="132">
        <f t="shared" ca="1" si="1"/>
        <v>47220</v>
      </c>
      <c r="D73" s="195">
        <f t="shared" si="2"/>
        <v>0</v>
      </c>
      <c r="E73" s="197">
        <f t="shared" si="5"/>
        <v>0</v>
      </c>
      <c r="F73" s="285">
        <f t="shared" si="6"/>
        <v>0</v>
      </c>
      <c r="G73" s="285"/>
      <c r="H73" s="134"/>
      <c r="I73" s="134"/>
      <c r="J73" s="4"/>
      <c r="L73" s="122"/>
      <c r="AC73" s="4"/>
    </row>
    <row r="74" spans="1:29" x14ac:dyDescent="0.2">
      <c r="A74" s="60"/>
      <c r="B74" s="128">
        <v>44</v>
      </c>
      <c r="C74" s="132">
        <f t="shared" ca="1" si="1"/>
        <v>47250</v>
      </c>
      <c r="D74" s="195">
        <f t="shared" si="2"/>
        <v>0</v>
      </c>
      <c r="E74" s="197">
        <f t="shared" si="5"/>
        <v>0</v>
      </c>
      <c r="F74" s="285">
        <f t="shared" si="6"/>
        <v>0</v>
      </c>
      <c r="G74" s="285"/>
      <c r="H74" s="134"/>
      <c r="I74" s="134"/>
      <c r="J74" s="4"/>
      <c r="L74" s="122"/>
      <c r="AC74" s="4"/>
    </row>
    <row r="75" spans="1:29" x14ac:dyDescent="0.2">
      <c r="A75" s="60"/>
      <c r="B75" s="128">
        <v>45</v>
      </c>
      <c r="C75" s="132">
        <f t="shared" ca="1" si="1"/>
        <v>47281</v>
      </c>
      <c r="D75" s="195">
        <f t="shared" si="2"/>
        <v>0</v>
      </c>
      <c r="E75" s="197">
        <f t="shared" si="5"/>
        <v>0</v>
      </c>
      <c r="F75" s="285">
        <f t="shared" si="6"/>
        <v>0</v>
      </c>
      <c r="G75" s="285"/>
      <c r="H75" s="134"/>
      <c r="I75" s="134"/>
      <c r="J75" s="4"/>
      <c r="L75" s="122"/>
      <c r="AC75" s="4"/>
    </row>
    <row r="76" spans="1:29" x14ac:dyDescent="0.2">
      <c r="A76" s="60"/>
      <c r="B76" s="128">
        <v>46</v>
      </c>
      <c r="C76" s="132">
        <f t="shared" ca="1" si="1"/>
        <v>47311</v>
      </c>
      <c r="D76" s="195">
        <f t="shared" si="2"/>
        <v>0</v>
      </c>
      <c r="E76" s="197">
        <f t="shared" si="5"/>
        <v>0</v>
      </c>
      <c r="F76" s="285">
        <f t="shared" si="6"/>
        <v>0</v>
      </c>
      <c r="G76" s="285"/>
      <c r="H76" s="134"/>
      <c r="I76" s="134"/>
      <c r="J76" s="4"/>
      <c r="L76" s="122"/>
      <c r="AC76" s="4"/>
    </row>
    <row r="77" spans="1:29" x14ac:dyDescent="0.2">
      <c r="A77" s="60"/>
      <c r="B77" s="128">
        <v>47</v>
      </c>
      <c r="C77" s="132">
        <f t="shared" ca="1" si="1"/>
        <v>47342</v>
      </c>
      <c r="D77" s="195">
        <f t="shared" si="2"/>
        <v>0</v>
      </c>
      <c r="E77" s="197">
        <f t="shared" si="5"/>
        <v>0</v>
      </c>
      <c r="F77" s="285">
        <f t="shared" si="6"/>
        <v>0</v>
      </c>
      <c r="G77" s="285"/>
      <c r="H77" s="134"/>
      <c r="I77" s="134"/>
      <c r="J77" s="4"/>
      <c r="L77" s="122"/>
      <c r="AC77" s="4"/>
    </row>
    <row r="78" spans="1:29" x14ac:dyDescent="0.2">
      <c r="A78" s="60"/>
      <c r="B78" s="128">
        <v>48</v>
      </c>
      <c r="C78" s="132">
        <f t="shared" ca="1" si="1"/>
        <v>47373</v>
      </c>
      <c r="D78" s="195">
        <f t="shared" si="2"/>
        <v>0</v>
      </c>
      <c r="E78" s="197">
        <f t="shared" si="5"/>
        <v>0</v>
      </c>
      <c r="F78" s="285">
        <f t="shared" si="6"/>
        <v>0</v>
      </c>
      <c r="G78" s="285"/>
      <c r="H78" s="134"/>
      <c r="I78" s="134"/>
      <c r="J78" s="4"/>
      <c r="L78" s="122"/>
      <c r="AC78" s="4"/>
    </row>
    <row r="79" spans="1:29" x14ac:dyDescent="0.2">
      <c r="A79" s="60"/>
      <c r="B79" s="128">
        <v>49</v>
      </c>
      <c r="C79" s="132">
        <f t="shared" ca="1" si="1"/>
        <v>47403</v>
      </c>
      <c r="D79" s="195">
        <f t="shared" si="2"/>
        <v>0</v>
      </c>
      <c r="E79" s="197">
        <f t="shared" si="5"/>
        <v>0</v>
      </c>
      <c r="F79" s="285">
        <f t="shared" si="6"/>
        <v>0</v>
      </c>
      <c r="G79" s="285"/>
      <c r="H79" s="134"/>
      <c r="I79" s="134"/>
      <c r="J79" s="4"/>
      <c r="L79" s="122"/>
      <c r="AC79" s="4"/>
    </row>
    <row r="80" spans="1:29" x14ac:dyDescent="0.2">
      <c r="A80" s="60"/>
      <c r="B80" s="128">
        <v>50</v>
      </c>
      <c r="C80" s="132">
        <f t="shared" ca="1" si="1"/>
        <v>47434</v>
      </c>
      <c r="D80" s="195">
        <f t="shared" si="2"/>
        <v>0</v>
      </c>
      <c r="E80" s="197">
        <f t="shared" si="5"/>
        <v>0</v>
      </c>
      <c r="F80" s="285">
        <f t="shared" si="6"/>
        <v>0</v>
      </c>
      <c r="G80" s="285"/>
      <c r="H80" s="134"/>
      <c r="I80" s="134"/>
      <c r="J80" s="4"/>
      <c r="L80" s="122"/>
      <c r="AC80" s="4"/>
    </row>
    <row r="81" spans="1:29" x14ac:dyDescent="0.2">
      <c r="A81" s="60"/>
      <c r="B81" s="128">
        <v>51</v>
      </c>
      <c r="C81" s="132">
        <f t="shared" ca="1" si="1"/>
        <v>47464</v>
      </c>
      <c r="D81" s="195">
        <f t="shared" si="2"/>
        <v>0</v>
      </c>
      <c r="E81" s="197">
        <f t="shared" si="5"/>
        <v>0</v>
      </c>
      <c r="F81" s="285">
        <f t="shared" si="6"/>
        <v>0</v>
      </c>
      <c r="G81" s="285"/>
      <c r="H81" s="134"/>
      <c r="I81" s="134"/>
      <c r="J81" s="4"/>
      <c r="L81" s="122"/>
      <c r="AC81" s="4"/>
    </row>
    <row r="82" spans="1:29" x14ac:dyDescent="0.2">
      <c r="A82" s="60"/>
      <c r="B82" s="128">
        <v>52</v>
      </c>
      <c r="C82" s="132">
        <f t="shared" ca="1" si="1"/>
        <v>47495</v>
      </c>
      <c r="D82" s="195">
        <f t="shared" si="2"/>
        <v>0</v>
      </c>
      <c r="E82" s="197">
        <f t="shared" si="5"/>
        <v>0</v>
      </c>
      <c r="F82" s="285">
        <f t="shared" si="6"/>
        <v>0</v>
      </c>
      <c r="G82" s="285"/>
      <c r="H82" s="134"/>
      <c r="I82" s="134"/>
      <c r="J82" s="4"/>
      <c r="L82" s="122"/>
      <c r="AC82" s="4"/>
    </row>
    <row r="83" spans="1:29" x14ac:dyDescent="0.2">
      <c r="A83" s="60"/>
      <c r="B83" s="128">
        <v>53</v>
      </c>
      <c r="C83" s="132">
        <f t="shared" ca="1" si="1"/>
        <v>47526</v>
      </c>
      <c r="D83" s="195">
        <f t="shared" si="2"/>
        <v>0</v>
      </c>
      <c r="E83" s="197">
        <f t="shared" si="5"/>
        <v>0</v>
      </c>
      <c r="F83" s="285">
        <f t="shared" si="6"/>
        <v>0</v>
      </c>
      <c r="G83" s="285"/>
      <c r="H83" s="134"/>
      <c r="I83" s="134"/>
      <c r="J83" s="4"/>
      <c r="L83" s="122"/>
      <c r="AC83" s="4"/>
    </row>
    <row r="84" spans="1:29" x14ac:dyDescent="0.2">
      <c r="A84" s="60"/>
      <c r="B84" s="128">
        <v>54</v>
      </c>
      <c r="C84" s="132">
        <f t="shared" ca="1" si="1"/>
        <v>47554</v>
      </c>
      <c r="D84" s="195">
        <f t="shared" si="2"/>
        <v>0</v>
      </c>
      <c r="E84" s="197">
        <f t="shared" si="5"/>
        <v>0</v>
      </c>
      <c r="F84" s="285">
        <f t="shared" si="6"/>
        <v>0</v>
      </c>
      <c r="G84" s="285"/>
      <c r="H84" s="134"/>
      <c r="I84" s="134"/>
      <c r="J84" s="4"/>
      <c r="L84" s="122"/>
      <c r="AC84" s="4"/>
    </row>
    <row r="85" spans="1:29" x14ac:dyDescent="0.2">
      <c r="A85" s="60"/>
      <c r="B85" s="128">
        <v>55</v>
      </c>
      <c r="C85" s="132">
        <f t="shared" ca="1" si="1"/>
        <v>47585</v>
      </c>
      <c r="D85" s="195">
        <f t="shared" si="2"/>
        <v>0</v>
      </c>
      <c r="E85" s="197">
        <f t="shared" si="5"/>
        <v>0</v>
      </c>
      <c r="F85" s="285">
        <f t="shared" si="6"/>
        <v>0</v>
      </c>
      <c r="G85" s="285"/>
      <c r="H85" s="134"/>
      <c r="I85" s="134"/>
      <c r="J85" s="4"/>
      <c r="L85" s="122"/>
      <c r="AC85" s="4"/>
    </row>
    <row r="86" spans="1:29" x14ac:dyDescent="0.2">
      <c r="A86" s="60"/>
      <c r="B86" s="128">
        <v>56</v>
      </c>
      <c r="C86" s="132">
        <f t="shared" ca="1" si="1"/>
        <v>47615</v>
      </c>
      <c r="D86" s="195">
        <f t="shared" si="2"/>
        <v>0</v>
      </c>
      <c r="E86" s="197">
        <f t="shared" si="5"/>
        <v>0</v>
      </c>
      <c r="F86" s="285">
        <f t="shared" si="6"/>
        <v>0</v>
      </c>
      <c r="G86" s="285"/>
      <c r="H86" s="134"/>
      <c r="I86" s="134"/>
      <c r="J86" s="4"/>
      <c r="L86" s="122"/>
      <c r="AC86" s="4"/>
    </row>
    <row r="87" spans="1:29" x14ac:dyDescent="0.2">
      <c r="A87" s="60"/>
      <c r="B87" s="128">
        <v>57</v>
      </c>
      <c r="C87" s="132">
        <f t="shared" ca="1" si="1"/>
        <v>47646</v>
      </c>
      <c r="D87" s="195">
        <f t="shared" si="2"/>
        <v>0</v>
      </c>
      <c r="E87" s="197">
        <f t="shared" si="5"/>
        <v>0</v>
      </c>
      <c r="F87" s="285">
        <f t="shared" si="6"/>
        <v>0</v>
      </c>
      <c r="G87" s="285"/>
      <c r="H87" s="134"/>
      <c r="I87" s="134"/>
      <c r="J87" s="4"/>
      <c r="L87" s="122"/>
      <c r="AC87" s="4"/>
    </row>
    <row r="88" spans="1:29" x14ac:dyDescent="0.2">
      <c r="A88" s="60"/>
      <c r="B88" s="128">
        <v>58</v>
      </c>
      <c r="C88" s="132">
        <f t="shared" ca="1" si="1"/>
        <v>47676</v>
      </c>
      <c r="D88" s="195">
        <f t="shared" si="2"/>
        <v>0</v>
      </c>
      <c r="E88" s="197">
        <f t="shared" si="5"/>
        <v>0</v>
      </c>
      <c r="F88" s="285">
        <f t="shared" si="6"/>
        <v>0</v>
      </c>
      <c r="G88" s="285"/>
      <c r="H88" s="134"/>
      <c r="I88" s="134"/>
      <c r="J88" s="4"/>
      <c r="L88" s="122"/>
      <c r="AC88" s="4"/>
    </row>
    <row r="89" spans="1:29" x14ac:dyDescent="0.2">
      <c r="A89" s="60"/>
      <c r="B89" s="128">
        <v>59</v>
      </c>
      <c r="C89" s="132">
        <f t="shared" ca="1" si="1"/>
        <v>47707</v>
      </c>
      <c r="D89" s="195">
        <f t="shared" si="2"/>
        <v>0</v>
      </c>
      <c r="E89" s="197">
        <f t="shared" si="5"/>
        <v>0</v>
      </c>
      <c r="F89" s="285">
        <f t="shared" si="6"/>
        <v>0</v>
      </c>
      <c r="G89" s="285"/>
      <c r="H89" s="134"/>
      <c r="I89" s="134"/>
      <c r="J89" s="4"/>
      <c r="L89" s="122"/>
      <c r="AC89" s="4"/>
    </row>
    <row r="90" spans="1:29" ht="13.5" thickBot="1" x14ac:dyDescent="0.25">
      <c r="A90" s="60"/>
      <c r="B90" s="191">
        <v>60</v>
      </c>
      <c r="C90" s="192">
        <f t="shared" ca="1" si="1"/>
        <v>47738</v>
      </c>
      <c r="D90" s="195">
        <f t="shared" si="2"/>
        <v>0</v>
      </c>
      <c r="E90" s="200">
        <f t="shared" si="5"/>
        <v>0</v>
      </c>
      <c r="F90" s="286">
        <f t="shared" si="6"/>
        <v>0</v>
      </c>
      <c r="G90" s="286"/>
      <c r="H90" s="134"/>
      <c r="I90" s="134"/>
      <c r="J90" s="4"/>
      <c r="L90" s="122"/>
      <c r="AC90" s="4"/>
    </row>
    <row r="91" spans="1:29" ht="16.5" thickBot="1" x14ac:dyDescent="0.25">
      <c r="A91" s="60"/>
      <c r="B91" s="247" t="s">
        <v>3</v>
      </c>
      <c r="C91" s="282"/>
      <c r="D91" s="202">
        <f>SUM(D31:D90)</f>
        <v>0</v>
      </c>
      <c r="E91" s="202">
        <f>SUM(E31:E90)</f>
        <v>0</v>
      </c>
      <c r="F91" s="283">
        <f>SUM(F31:G90)</f>
        <v>0</v>
      </c>
      <c r="G91" s="284"/>
      <c r="H91" s="134"/>
      <c r="I91" s="134"/>
      <c r="J91" s="4"/>
      <c r="L91" s="122"/>
      <c r="AC91" s="4"/>
    </row>
    <row r="92" spans="1:29" x14ac:dyDescent="0.2">
      <c r="A92" s="60"/>
      <c r="B92" s="2"/>
      <c r="C92" s="2"/>
      <c r="D92" s="2"/>
      <c r="E92" s="2"/>
      <c r="F92" s="2"/>
      <c r="G92" s="42"/>
      <c r="I92" s="134"/>
      <c r="J92" s="134"/>
    </row>
    <row r="93" spans="1:29" x14ac:dyDescent="0.2">
      <c r="A93" s="60"/>
      <c r="B93" s="2"/>
      <c r="C93" s="33"/>
      <c r="D93" s="34"/>
      <c r="E93" s="251" t="s">
        <v>5</v>
      </c>
      <c r="F93" s="251"/>
      <c r="G93" s="251"/>
      <c r="I93" s="134"/>
      <c r="J93" s="134"/>
    </row>
    <row r="94" spans="1:29" x14ac:dyDescent="0.2">
      <c r="A94" s="60"/>
      <c r="B94" s="2"/>
      <c r="C94" s="35"/>
      <c r="D94" s="2"/>
      <c r="E94" s="36" t="s">
        <v>6</v>
      </c>
      <c r="F94" s="37"/>
      <c r="G94" s="48"/>
      <c r="I94" s="134"/>
      <c r="J94" s="134"/>
    </row>
    <row r="95" spans="1:29" x14ac:dyDescent="0.2">
      <c r="A95" s="60"/>
      <c r="B95" s="61"/>
      <c r="C95" s="61"/>
      <c r="D95" s="61"/>
      <c r="E95" s="61"/>
      <c r="F95" s="61"/>
      <c r="G95" s="135"/>
      <c r="H95" s="62"/>
      <c r="I95" s="134"/>
      <c r="J95" s="134"/>
    </row>
    <row r="96" spans="1:29" x14ac:dyDescent="0.2">
      <c r="A96" s="60"/>
      <c r="B96" s="61"/>
      <c r="C96" s="61"/>
      <c r="D96" s="61"/>
      <c r="E96" s="61"/>
      <c r="F96" s="61"/>
      <c r="G96" s="135"/>
      <c r="H96" s="62"/>
      <c r="I96" s="63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</sheetData>
  <sheetProtection selectLockedCells="1"/>
  <dataConsolidate/>
  <mergeCells count="88">
    <mergeCell ref="B7:E7"/>
    <mergeCell ref="H1:I1"/>
    <mergeCell ref="H2:I2"/>
    <mergeCell ref="F3:F4"/>
    <mergeCell ref="H3:I3"/>
    <mergeCell ref="B5:E5"/>
    <mergeCell ref="B9:E9"/>
    <mergeCell ref="G9:H9"/>
    <mergeCell ref="B13:E13"/>
    <mergeCell ref="G13:H13"/>
    <mergeCell ref="B15:E15"/>
    <mergeCell ref="G15:H15"/>
    <mergeCell ref="B11:E11"/>
    <mergeCell ref="B17:E17"/>
    <mergeCell ref="G17:H17"/>
    <mergeCell ref="B20:E20"/>
    <mergeCell ref="G20:H20"/>
    <mergeCell ref="B22:E22"/>
    <mergeCell ref="G22:H22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</mergeCells>
  <dataValidations count="1">
    <dataValidation type="list" showInputMessage="1" showErrorMessage="1" sqref="H2:I2" xr:uid="{00000000-0002-0000-0500-000000000000}">
      <formula1>$K$20:$K$23</formula1>
    </dataValidation>
  </dataValidations>
  <pageMargins left="0.39370078740157483" right="0.35433070866141736" top="0.59055118110236227" bottom="0.59055118110236227" header="0.51181102362204722" footer="0.51181102362204722"/>
  <pageSetup paperSize="9" scale="65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  <pageSetUpPr fitToPage="1"/>
  </sheetPr>
  <dimension ref="A1:AC96"/>
  <sheetViews>
    <sheetView tabSelected="1"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9.85546875" style="4" hidden="1" customWidth="1" outlineLevel="1"/>
    <col min="12" max="12" width="13.7109375" style="4" hidden="1" customWidth="1" outlineLevel="1"/>
    <col min="13" max="13" width="9.140625" style="122" customWidth="1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29" ht="12.75" customHeight="1" x14ac:dyDescent="0.2">
      <c r="A2" s="2"/>
      <c r="B2" s="61"/>
      <c r="C2" s="61"/>
      <c r="D2" s="61"/>
      <c r="E2" s="139">
        <f>VLOOKUP('Мобільний СК'!H2,Лист2!A:O,14,FALSE)</f>
        <v>5000</v>
      </c>
      <c r="F2" s="126">
        <f>VLOOKUP(H$2,Лист2!$A:$H,2,0)</f>
        <v>434782.61</v>
      </c>
      <c r="G2" s="185">
        <f ca="1">TODAY()</f>
        <v>45912</v>
      </c>
      <c r="H2" s="267" t="s">
        <v>96</v>
      </c>
      <c r="I2" s="268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100000</v>
      </c>
      <c r="F3" s="269" t="str">
        <f>IF(E3="x","Збільшіть суму",IF(E3="y","Зменшіть суму",""))</f>
        <v/>
      </c>
      <c r="G3" s="77">
        <f>Назви!B35</f>
        <v>30.4</v>
      </c>
      <c r="H3" s="271" t="str">
        <f>VLOOKUP(H$2,Лист2!$A:$H,7,0)</f>
        <v>max. 434782,61 грн.</v>
      </c>
      <c r="I3" s="272"/>
      <c r="J3" s="50"/>
    </row>
    <row r="4" spans="1:29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29" ht="21" customHeight="1" thickBot="1" x14ac:dyDescent="0.25">
      <c r="A5" s="1"/>
      <c r="B5" s="294" t="s">
        <v>82</v>
      </c>
      <c r="C5" s="295"/>
      <c r="D5" s="295"/>
      <c r="E5" s="296"/>
      <c r="F5" s="205">
        <v>100000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6" t="s">
        <v>81</v>
      </c>
      <c r="C7" s="277"/>
      <c r="D7" s="277"/>
      <c r="E7" s="278"/>
      <c r="F7" s="13">
        <f>D89</f>
        <v>115000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>
        <f>VLOOKUP(H$2,Лист2!$A:$H,4,0)</f>
        <v>0.61990000000000001</v>
      </c>
      <c r="G9" s="289"/>
      <c r="H9" s="289"/>
      <c r="I9" s="3"/>
      <c r="J9" s="51"/>
      <c r="K9" s="162" t="str">
        <f>Лист2!A4</f>
        <v>Мобільний СК, 60 міс.</v>
      </c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 t="str">
        <f>Лист2!A5</f>
        <v>Мобільний СК, 36 міс.</v>
      </c>
    </row>
    <row r="11" spans="1:29" ht="12.6" customHeight="1" x14ac:dyDescent="0.2">
      <c r="A11" s="1"/>
      <c r="B11" s="276" t="str">
        <f>Назви!A7</f>
        <v>Разовий страховий тариф, %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>
        <f>VLOOKUP(H$2,Лист2!$A:$H,5,0)</f>
        <v>0.15</v>
      </c>
      <c r="G11" s="289"/>
      <c r="H11" s="289"/>
      <c r="I11" s="3"/>
      <c r="J11" s="51"/>
      <c r="K11" s="162" t="str">
        <f>Лист2!A6</f>
        <v>Мобільний СК, 24 міс.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str">
        <f>Лист2!A7</f>
        <v>Мобільний СК, 12 міс.</v>
      </c>
    </row>
    <row r="13" spans="1:29" x14ac:dyDescent="0.2">
      <c r="A13" s="1"/>
      <c r="B13" s="276" t="str">
        <f>Назви!A9</f>
        <v xml:space="preserve">Щомісячна плата за обслуговування кредитної заборгованості, % </v>
      </c>
      <c r="C13" s="277">
        <f>Назви!B9</f>
        <v>0</v>
      </c>
      <c r="D13" s="277">
        <f>Назви!C9</f>
        <v>0</v>
      </c>
      <c r="E13" s="278">
        <f>Назви!D9</f>
        <v>0</v>
      </c>
      <c r="F13" s="38">
        <f>VLOOKUP(H$2,Лист2!$A:$H,6,0)</f>
        <v>0</v>
      </c>
      <c r="G13" s="289"/>
      <c r="H13" s="289"/>
      <c r="I13" s="3"/>
      <c r="J13" s="51"/>
      <c r="K13" s="162"/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/>
    </row>
    <row r="15" spans="1:29" x14ac:dyDescent="0.2">
      <c r="A15" s="1"/>
      <c r="B15" s="276" t="str">
        <f>Назви!A11</f>
        <v>Термін кредитування (міс.)</v>
      </c>
      <c r="C15" s="277">
        <f>Назви!B11</f>
        <v>0</v>
      </c>
      <c r="D15" s="277">
        <f>Назви!C11</f>
        <v>0</v>
      </c>
      <c r="E15" s="278">
        <f>Назви!D11</f>
        <v>0</v>
      </c>
      <c r="F15" s="64">
        <f>VLOOKUP(H$2,Лист2!$A:$H,3,0)</f>
        <v>24</v>
      </c>
      <c r="G15" s="289"/>
      <c r="H15" s="289"/>
      <c r="I15" s="3"/>
      <c r="J15" s="51"/>
      <c r="K15" s="162"/>
    </row>
    <row r="16" spans="1:29" s="12" customFormat="1" ht="7.9" customHeight="1" x14ac:dyDescent="0.2">
      <c r="A16" s="1"/>
      <c r="B16" s="10"/>
      <c r="C16" s="59"/>
      <c r="D16" s="116"/>
      <c r="E16" s="182">
        <f>F5*F11</f>
        <v>15000</v>
      </c>
      <c r="F16" s="61"/>
      <c r="G16" s="120"/>
      <c r="H16" s="11"/>
      <c r="I16" s="1"/>
      <c r="J16" s="52"/>
      <c r="K16" s="162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115000</v>
      </c>
      <c r="F17" s="61"/>
      <c r="G17" s="120"/>
      <c r="H17" s="11"/>
      <c r="I17" s="1"/>
      <c r="J17" s="124"/>
      <c r="K17" s="16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9" t="str">
        <f>Назви!A14</f>
        <v>Орієнтовний платіж, грн.</v>
      </c>
      <c r="C18" s="280">
        <f>Назви!B14</f>
        <v>0</v>
      </c>
      <c r="D18" s="280">
        <f>Назви!C14</f>
        <v>0</v>
      </c>
      <c r="E18" s="281">
        <f>Назви!D14</f>
        <v>0</v>
      </c>
      <c r="F18" s="13">
        <f>PMT(F9/12,F15,-E17)+F13*E17</f>
        <v>8469.1073863238216</v>
      </c>
      <c r="G18" s="290"/>
      <c r="H18" s="291"/>
      <c r="I18" s="133"/>
      <c r="J18" s="52"/>
      <c r="K18" s="16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Назви!A16</f>
        <v>Орієнтовні загальні витрати за кредитом, грн.</v>
      </c>
      <c r="C20" s="280">
        <f>Назви!B16</f>
        <v>0</v>
      </c>
      <c r="D20" s="280">
        <f>Назви!C16</f>
        <v>0</v>
      </c>
      <c r="E20" s="281">
        <f>Назви!D16</f>
        <v>0</v>
      </c>
      <c r="F20" s="13">
        <f>G89-E3</f>
        <v>103258.57727177179</v>
      </c>
      <c r="G20" s="292"/>
      <c r="H20" s="292"/>
      <c r="I20" s="1"/>
      <c r="J20" s="53"/>
      <c r="K20" s="16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Назви!A18</f>
        <v>Орієнтовна загальна вартість кредиту, грн.</v>
      </c>
      <c r="C22" s="280">
        <f>Назви!B18</f>
        <v>0</v>
      </c>
      <c r="D22" s="280">
        <f>Назви!C18</f>
        <v>0</v>
      </c>
      <c r="E22" s="281">
        <f>Назви!D18</f>
        <v>0</v>
      </c>
      <c r="F22" s="13">
        <f>F7+F20</f>
        <v>218258.57727177179</v>
      </c>
      <c r="G22" s="289"/>
      <c r="H22" s="289"/>
      <c r="I22" s="1"/>
      <c r="J22" s="53"/>
      <c r="K22" s="16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Назви!A20</f>
        <v>Реальна річна процентна ставка, %</v>
      </c>
      <c r="C24" s="280"/>
      <c r="D24" s="280"/>
      <c r="E24" s="281"/>
      <c r="F24" s="38">
        <f ca="1">XIRR(G28:G88,C28:C88)</f>
        <v>1.1729749560356146</v>
      </c>
      <c r="G24" s="17"/>
      <c r="H24" s="18"/>
      <c r="I24" s="1"/>
      <c r="J24" s="1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8" t="str">
        <f>Назви!A29</f>
        <v>Орієнтовний порядок повернення кредиту</v>
      </c>
      <c r="C26" s="259"/>
      <c r="D26" s="259"/>
      <c r="E26" s="259"/>
      <c r="F26" s="259"/>
      <c r="G26" s="259"/>
      <c r="H26" s="260"/>
      <c r="I26" s="3"/>
      <c r="K26" s="162"/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1" t="str">
        <f>Назви!F30</f>
        <v>Сума платежу за розрахунковий період, грн.</v>
      </c>
      <c r="H27" s="262"/>
      <c r="I27" s="3"/>
      <c r="K27" s="162"/>
    </row>
    <row r="28" spans="1:29" ht="12.6" hidden="1" customHeight="1" thickBot="1" x14ac:dyDescent="0.25">
      <c r="A28" s="1"/>
      <c r="B28" s="112">
        <v>0</v>
      </c>
      <c r="C28" s="187">
        <f ca="1">TODAY()</f>
        <v>45912</v>
      </c>
      <c r="D28" s="113"/>
      <c r="E28" s="114"/>
      <c r="F28" s="113"/>
      <c r="G28" s="287">
        <f>-1*E3</f>
        <v>-100000</v>
      </c>
      <c r="H28" s="288"/>
      <c r="I28" s="3"/>
      <c r="K28" s="162"/>
    </row>
    <row r="29" spans="1:29" x14ac:dyDescent="0.2">
      <c r="A29" s="1">
        <v>1</v>
      </c>
      <c r="B29" s="214">
        <v>1</v>
      </c>
      <c r="C29" s="211">
        <f ca="1">DATE(YEAR(C28),MONTH(C28)+1,DAY(C28))</f>
        <v>45942</v>
      </c>
      <c r="D29" s="207">
        <f>IFERROR(PPMT($F$9/12,B29,$F$15,-$E$17),0)</f>
        <v>2528.3990529904891</v>
      </c>
      <c r="E29" s="194">
        <v>0</v>
      </c>
      <c r="F29" s="194">
        <f>IFERROR(IPMT($F$9/12,B29,$F$15,-$F$7),0)</f>
        <v>5940.708333333333</v>
      </c>
      <c r="G29" s="263">
        <f>SUM(D29:F29)</f>
        <v>8469.1073863238216</v>
      </c>
      <c r="H29" s="264"/>
      <c r="I29" s="3"/>
      <c r="K29" s="162"/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45973</v>
      </c>
      <c r="D30" s="208">
        <f t="shared" ref="D30:D88" si="1">IFERROR(PPMT($F$9/12,B30,$F$15,-$E$17),0)</f>
        <v>2659.011934069556</v>
      </c>
      <c r="E30" s="196">
        <v>0</v>
      </c>
      <c r="F30" s="196">
        <f t="shared" ref="F30:F88" si="2">IFERROR(IPMT($F$9/12,B30,$F$15,-$F$7),0)</f>
        <v>5810.0954522542652</v>
      </c>
      <c r="G30" s="285">
        <f t="shared" ref="G30:G88" si="3">SUM(D30:F30)</f>
        <v>8469.1073863238216</v>
      </c>
      <c r="H30" s="299"/>
      <c r="I30" s="3"/>
      <c r="K30" s="162"/>
    </row>
    <row r="31" spans="1:29" x14ac:dyDescent="0.2">
      <c r="A31" s="1">
        <v>3</v>
      </c>
      <c r="B31" s="215">
        <v>3</v>
      </c>
      <c r="C31" s="212">
        <f t="shared" ca="1" si="0"/>
        <v>46003</v>
      </c>
      <c r="D31" s="208">
        <f t="shared" si="1"/>
        <v>2796.3720588970332</v>
      </c>
      <c r="E31" s="196">
        <v>0</v>
      </c>
      <c r="F31" s="196">
        <f t="shared" si="2"/>
        <v>5672.7353274267889</v>
      </c>
      <c r="G31" s="285">
        <f t="shared" si="3"/>
        <v>8469.1073863238216</v>
      </c>
      <c r="H31" s="299"/>
      <c r="I31" s="3"/>
      <c r="K31" s="162"/>
    </row>
    <row r="32" spans="1:29" x14ac:dyDescent="0.2">
      <c r="A32" s="1">
        <v>4</v>
      </c>
      <c r="B32" s="215">
        <v>4</v>
      </c>
      <c r="C32" s="212">
        <f t="shared" ca="1" si="0"/>
        <v>46034</v>
      </c>
      <c r="D32" s="208">
        <f t="shared" si="1"/>
        <v>2940.8279788395553</v>
      </c>
      <c r="E32" s="196">
        <v>0</v>
      </c>
      <c r="F32" s="196">
        <f t="shared" si="2"/>
        <v>5528.2794074842668</v>
      </c>
      <c r="G32" s="285">
        <f t="shared" si="3"/>
        <v>8469.1073863238216</v>
      </c>
      <c r="H32" s="299"/>
      <c r="I32" s="3"/>
      <c r="K32" s="162"/>
    </row>
    <row r="33" spans="1:11" x14ac:dyDescent="0.2">
      <c r="A33" s="1">
        <v>5</v>
      </c>
      <c r="B33" s="215">
        <v>5</v>
      </c>
      <c r="C33" s="212">
        <f t="shared" ca="1" si="0"/>
        <v>46065</v>
      </c>
      <c r="D33" s="208">
        <f t="shared" si="1"/>
        <v>3092.7462508464423</v>
      </c>
      <c r="E33" s="196">
        <v>0</v>
      </c>
      <c r="F33" s="196">
        <f t="shared" si="2"/>
        <v>5376.3611354773802</v>
      </c>
      <c r="G33" s="285">
        <f t="shared" si="3"/>
        <v>8469.1073863238234</v>
      </c>
      <c r="H33" s="299"/>
      <c r="I33" s="3"/>
      <c r="K33" s="162"/>
    </row>
    <row r="34" spans="1:11" x14ac:dyDescent="0.2">
      <c r="A34" s="1">
        <v>6</v>
      </c>
      <c r="B34" s="215">
        <v>6</v>
      </c>
      <c r="C34" s="212">
        <f t="shared" ca="1" si="0"/>
        <v>46093</v>
      </c>
      <c r="D34" s="208">
        <f t="shared" si="1"/>
        <v>3252.5123675880845</v>
      </c>
      <c r="E34" s="196">
        <v>0</v>
      </c>
      <c r="F34" s="196">
        <f t="shared" si="2"/>
        <v>5216.5950187357375</v>
      </c>
      <c r="G34" s="285">
        <f t="shared" si="3"/>
        <v>8469.1073863238216</v>
      </c>
      <c r="H34" s="299"/>
      <c r="I34" s="3"/>
      <c r="K34" s="162"/>
    </row>
    <row r="35" spans="1:11" x14ac:dyDescent="0.2">
      <c r="A35" s="1">
        <v>7</v>
      </c>
      <c r="B35" s="215">
        <v>7</v>
      </c>
      <c r="C35" s="212">
        <f t="shared" ca="1" si="0"/>
        <v>46124</v>
      </c>
      <c r="D35" s="208">
        <f t="shared" si="1"/>
        <v>3420.531735643739</v>
      </c>
      <c r="E35" s="196">
        <v>0</v>
      </c>
      <c r="F35" s="196">
        <f t="shared" si="2"/>
        <v>5048.5756506800835</v>
      </c>
      <c r="G35" s="285">
        <f t="shared" si="3"/>
        <v>8469.1073863238234</v>
      </c>
      <c r="H35" s="299"/>
      <c r="I35" s="3"/>
      <c r="K35" s="162"/>
    </row>
    <row r="36" spans="1:11" x14ac:dyDescent="0.2">
      <c r="A36" s="1">
        <v>8</v>
      </c>
      <c r="B36" s="215">
        <v>8</v>
      </c>
      <c r="C36" s="212">
        <f t="shared" ca="1" si="0"/>
        <v>46154</v>
      </c>
      <c r="D36" s="208">
        <f t="shared" si="1"/>
        <v>3597.2307042208677</v>
      </c>
      <c r="E36" s="196">
        <v>0</v>
      </c>
      <c r="F36" s="196">
        <f t="shared" si="2"/>
        <v>4871.876682102954</v>
      </c>
      <c r="G36" s="285">
        <f t="shared" si="3"/>
        <v>8469.1073863238216</v>
      </c>
      <c r="H36" s="299"/>
      <c r="I36" s="3"/>
      <c r="K36" s="162"/>
    </row>
    <row r="37" spans="1:11" x14ac:dyDescent="0.2">
      <c r="A37" s="1">
        <v>9</v>
      </c>
      <c r="B37" s="215">
        <v>9</v>
      </c>
      <c r="C37" s="212">
        <f t="shared" ca="1" si="0"/>
        <v>46185</v>
      </c>
      <c r="D37" s="208">
        <f t="shared" si="1"/>
        <v>3783.0576470164119</v>
      </c>
      <c r="E37" s="196">
        <v>0</v>
      </c>
      <c r="F37" s="196">
        <f t="shared" si="2"/>
        <v>4686.0497393074111</v>
      </c>
      <c r="G37" s="285">
        <f t="shared" si="3"/>
        <v>8469.1073863238234</v>
      </c>
      <c r="H37" s="299"/>
      <c r="I37" s="3"/>
      <c r="K37" s="162"/>
    </row>
    <row r="38" spans="1:11" x14ac:dyDescent="0.2">
      <c r="A38" s="1">
        <v>10</v>
      </c>
      <c r="B38" s="215">
        <v>10</v>
      </c>
      <c r="C38" s="212">
        <f t="shared" ca="1" si="0"/>
        <v>46215</v>
      </c>
      <c r="D38" s="208">
        <f t="shared" si="1"/>
        <v>3978.484099965201</v>
      </c>
      <c r="E38" s="196">
        <v>0</v>
      </c>
      <c r="F38" s="196">
        <f t="shared" si="2"/>
        <v>4490.623286358621</v>
      </c>
      <c r="G38" s="285">
        <f t="shared" si="3"/>
        <v>8469.1073863238216</v>
      </c>
      <c r="H38" s="299"/>
      <c r="I38" s="3"/>
      <c r="K38" s="162"/>
    </row>
    <row r="39" spans="1:11" x14ac:dyDescent="0.2">
      <c r="A39" s="1">
        <v>22</v>
      </c>
      <c r="B39" s="215">
        <v>11</v>
      </c>
      <c r="C39" s="212">
        <f t="shared" ca="1" si="0"/>
        <v>46246</v>
      </c>
      <c r="D39" s="208">
        <f t="shared" si="1"/>
        <v>4184.0059577625698</v>
      </c>
      <c r="E39" s="196">
        <v>0</v>
      </c>
      <c r="F39" s="196">
        <f t="shared" si="2"/>
        <v>4285.1014285612528</v>
      </c>
      <c r="G39" s="285">
        <f t="shared" si="3"/>
        <v>8469.1073863238234</v>
      </c>
      <c r="H39" s="299"/>
      <c r="I39" s="3"/>
      <c r="K39" s="162"/>
    </row>
    <row r="40" spans="1:11" x14ac:dyDescent="0.2">
      <c r="A40" s="1">
        <v>22</v>
      </c>
      <c r="B40" s="215">
        <v>12</v>
      </c>
      <c r="C40" s="212">
        <f t="shared" ca="1" si="0"/>
        <v>46277</v>
      </c>
      <c r="D40" s="208">
        <f t="shared" si="1"/>
        <v>4400.1447321973219</v>
      </c>
      <c r="E40" s="196">
        <v>0</v>
      </c>
      <c r="F40" s="196">
        <f t="shared" si="2"/>
        <v>4068.9626541265006</v>
      </c>
      <c r="G40" s="285">
        <f t="shared" si="3"/>
        <v>8469.1073863238234</v>
      </c>
      <c r="H40" s="299"/>
      <c r="I40" s="3"/>
      <c r="K40" s="162"/>
    </row>
    <row r="41" spans="1:11" x14ac:dyDescent="0.2">
      <c r="A41" s="1">
        <v>13</v>
      </c>
      <c r="B41" s="215">
        <v>13</v>
      </c>
      <c r="C41" s="212">
        <f t="shared" ca="1" si="0"/>
        <v>46307</v>
      </c>
      <c r="D41" s="208">
        <f t="shared" si="1"/>
        <v>4627.4488754880813</v>
      </c>
      <c r="E41" s="196">
        <v>0</v>
      </c>
      <c r="F41" s="196">
        <f t="shared" si="2"/>
        <v>3841.6585108357403</v>
      </c>
      <c r="G41" s="285">
        <f t="shared" si="3"/>
        <v>8469.1073863238216</v>
      </c>
      <c r="H41" s="299"/>
      <c r="I41" s="3"/>
      <c r="K41" s="162"/>
    </row>
    <row r="42" spans="1:11" x14ac:dyDescent="0.2">
      <c r="A42" s="1">
        <v>14</v>
      </c>
      <c r="B42" s="215">
        <v>14</v>
      </c>
      <c r="C42" s="212">
        <f t="shared" ca="1" si="0"/>
        <v>46338</v>
      </c>
      <c r="D42" s="208">
        <f t="shared" si="1"/>
        <v>4866.4951719810042</v>
      </c>
      <c r="E42" s="196">
        <v>0</v>
      </c>
      <c r="F42" s="196">
        <f t="shared" si="2"/>
        <v>3602.6122143428183</v>
      </c>
      <c r="G42" s="285">
        <f t="shared" si="3"/>
        <v>8469.1073863238234</v>
      </c>
      <c r="H42" s="299"/>
      <c r="I42" s="3"/>
      <c r="K42" s="162"/>
    </row>
    <row r="43" spans="1:11" x14ac:dyDescent="0.2">
      <c r="A43" s="1">
        <v>15</v>
      </c>
      <c r="B43" s="215">
        <v>15</v>
      </c>
      <c r="C43" s="212">
        <f t="shared" ca="1" si="0"/>
        <v>46368</v>
      </c>
      <c r="D43" s="208">
        <f t="shared" si="1"/>
        <v>5117.8902017402552</v>
      </c>
      <c r="E43" s="196">
        <v>0</v>
      </c>
      <c r="F43" s="196">
        <f t="shared" si="2"/>
        <v>3351.2171845835669</v>
      </c>
      <c r="G43" s="285">
        <f t="shared" si="3"/>
        <v>8469.1073863238216</v>
      </c>
      <c r="H43" s="299"/>
      <c r="I43" s="3"/>
      <c r="K43" s="162"/>
    </row>
    <row r="44" spans="1:11" x14ac:dyDescent="0.2">
      <c r="A44" s="1">
        <v>16</v>
      </c>
      <c r="B44" s="215">
        <v>16</v>
      </c>
      <c r="C44" s="212">
        <f t="shared" ca="1" si="0"/>
        <v>46399</v>
      </c>
      <c r="D44" s="208">
        <f t="shared" si="1"/>
        <v>5382.2718797451544</v>
      </c>
      <c r="E44" s="196">
        <v>0</v>
      </c>
      <c r="F44" s="196">
        <f t="shared" si="2"/>
        <v>3086.8355065786682</v>
      </c>
      <c r="G44" s="285">
        <f t="shared" si="3"/>
        <v>8469.1073863238234</v>
      </c>
      <c r="H44" s="299"/>
      <c r="I44" s="3"/>
      <c r="K44" s="162"/>
    </row>
    <row r="45" spans="1:11" x14ac:dyDescent="0.2">
      <c r="A45" s="1">
        <v>22</v>
      </c>
      <c r="B45" s="215">
        <v>17</v>
      </c>
      <c r="C45" s="212">
        <f t="shared" ca="1" si="0"/>
        <v>46430</v>
      </c>
      <c r="D45" s="208">
        <f t="shared" si="1"/>
        <v>5660.3110745996555</v>
      </c>
      <c r="E45" s="196">
        <v>0</v>
      </c>
      <c r="F45" s="196">
        <f t="shared" si="2"/>
        <v>2808.7963117241666</v>
      </c>
      <c r="G45" s="285">
        <f t="shared" si="3"/>
        <v>8469.1073863238216</v>
      </c>
      <c r="H45" s="299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46458</v>
      </c>
      <c r="D46" s="208">
        <f t="shared" si="1"/>
        <v>5952.7133108616827</v>
      </c>
      <c r="E46" s="196">
        <v>0</v>
      </c>
      <c r="F46" s="196">
        <f t="shared" si="2"/>
        <v>2516.394075462139</v>
      </c>
      <c r="G46" s="285">
        <f t="shared" si="3"/>
        <v>8469.1073863238216</v>
      </c>
      <c r="H46" s="299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46489</v>
      </c>
      <c r="D47" s="208">
        <f t="shared" si="1"/>
        <v>6260.2205593119461</v>
      </c>
      <c r="E47" s="196">
        <v>0</v>
      </c>
      <c r="F47" s="196">
        <f t="shared" si="2"/>
        <v>2208.886827011876</v>
      </c>
      <c r="G47" s="285">
        <f t="shared" si="3"/>
        <v>8469.1073863238216</v>
      </c>
      <c r="H47" s="299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46519</v>
      </c>
      <c r="D48" s="208">
        <f t="shared" si="1"/>
        <v>6583.613119705069</v>
      </c>
      <c r="E48" s="196">
        <v>0</v>
      </c>
      <c r="F48" s="196">
        <f t="shared" si="2"/>
        <v>1885.494266618753</v>
      </c>
      <c r="G48" s="285">
        <f t="shared" si="3"/>
        <v>8469.1073863238216</v>
      </c>
      <c r="H48" s="299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46550</v>
      </c>
      <c r="D49" s="208">
        <f t="shared" si="1"/>
        <v>6923.7116007804998</v>
      </c>
      <c r="E49" s="196">
        <v>0</v>
      </c>
      <c r="F49" s="196">
        <f t="shared" si="2"/>
        <v>1545.3957855433221</v>
      </c>
      <c r="G49" s="285">
        <f t="shared" si="3"/>
        <v>8469.1073863238216</v>
      </c>
      <c r="H49" s="299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46580</v>
      </c>
      <c r="D50" s="208">
        <f t="shared" si="1"/>
        <v>7281.3790025574863</v>
      </c>
      <c r="E50" s="196">
        <v>0</v>
      </c>
      <c r="F50" s="196">
        <f t="shared" si="2"/>
        <v>1187.7283837663358</v>
      </c>
      <c r="G50" s="285">
        <f t="shared" si="3"/>
        <v>8469.1073863238216</v>
      </c>
      <c r="H50" s="299"/>
      <c r="I50" s="3"/>
    </row>
    <row r="51" spans="1:11" x14ac:dyDescent="0.2">
      <c r="A51" s="60">
        <v>25</v>
      </c>
      <c r="B51" s="215">
        <v>23</v>
      </c>
      <c r="C51" s="212">
        <f t="shared" ca="1" si="0"/>
        <v>46611</v>
      </c>
      <c r="D51" s="208">
        <f t="shared" si="1"/>
        <v>7657.5229061979344</v>
      </c>
      <c r="E51" s="196">
        <v>0</v>
      </c>
      <c r="F51" s="196">
        <f t="shared" si="2"/>
        <v>811.58448012588713</v>
      </c>
      <c r="G51" s="285">
        <f t="shared" si="3"/>
        <v>8469.1073863238216</v>
      </c>
      <c r="H51" s="299"/>
      <c r="I51" s="3"/>
    </row>
    <row r="52" spans="1:11" x14ac:dyDescent="0.2">
      <c r="A52" s="60"/>
      <c r="B52" s="215">
        <v>24</v>
      </c>
      <c r="C52" s="212">
        <f t="shared" ca="1" si="0"/>
        <v>46642</v>
      </c>
      <c r="D52" s="208">
        <f t="shared" si="1"/>
        <v>8053.0977769939436</v>
      </c>
      <c r="E52" s="196">
        <v>0</v>
      </c>
      <c r="F52" s="196">
        <f t="shared" si="2"/>
        <v>416.00960932987874</v>
      </c>
      <c r="G52" s="285">
        <f t="shared" si="3"/>
        <v>8469.1073863238216</v>
      </c>
      <c r="H52" s="299"/>
      <c r="I52" s="3"/>
    </row>
    <row r="53" spans="1:11" x14ac:dyDescent="0.2">
      <c r="A53" s="60"/>
      <c r="B53" s="215">
        <v>25</v>
      </c>
      <c r="C53" s="212">
        <f t="shared" ca="1" si="0"/>
        <v>46672</v>
      </c>
      <c r="D53" s="208">
        <f t="shared" si="1"/>
        <v>0</v>
      </c>
      <c r="E53" s="196">
        <v>0</v>
      </c>
      <c r="F53" s="196">
        <f t="shared" si="2"/>
        <v>0</v>
      </c>
      <c r="G53" s="285">
        <f t="shared" si="3"/>
        <v>0</v>
      </c>
      <c r="H53" s="299"/>
      <c r="I53" s="3"/>
    </row>
    <row r="54" spans="1:11" x14ac:dyDescent="0.2">
      <c r="A54" s="60"/>
      <c r="B54" s="215">
        <v>26</v>
      </c>
      <c r="C54" s="212">
        <f t="shared" ca="1" si="0"/>
        <v>46703</v>
      </c>
      <c r="D54" s="208">
        <f t="shared" si="1"/>
        <v>0</v>
      </c>
      <c r="E54" s="196">
        <v>0</v>
      </c>
      <c r="F54" s="196">
        <f t="shared" si="2"/>
        <v>0</v>
      </c>
      <c r="G54" s="285">
        <f t="shared" si="3"/>
        <v>0</v>
      </c>
      <c r="H54" s="299"/>
      <c r="I54" s="3"/>
    </row>
    <row r="55" spans="1:11" x14ac:dyDescent="0.2">
      <c r="A55" s="60"/>
      <c r="B55" s="215">
        <v>27</v>
      </c>
      <c r="C55" s="212">
        <f t="shared" ca="1" si="0"/>
        <v>46733</v>
      </c>
      <c r="D55" s="208">
        <f t="shared" si="1"/>
        <v>0</v>
      </c>
      <c r="E55" s="196">
        <v>0</v>
      </c>
      <c r="F55" s="196">
        <f t="shared" si="2"/>
        <v>0</v>
      </c>
      <c r="G55" s="285">
        <f t="shared" si="3"/>
        <v>0</v>
      </c>
      <c r="H55" s="299"/>
      <c r="I55" s="3"/>
    </row>
    <row r="56" spans="1:11" x14ac:dyDescent="0.2">
      <c r="A56" s="60"/>
      <c r="B56" s="215">
        <v>28</v>
      </c>
      <c r="C56" s="212">
        <f t="shared" ca="1" si="0"/>
        <v>46764</v>
      </c>
      <c r="D56" s="208">
        <f t="shared" si="1"/>
        <v>0</v>
      </c>
      <c r="E56" s="196">
        <v>0</v>
      </c>
      <c r="F56" s="196">
        <f t="shared" si="2"/>
        <v>0</v>
      </c>
      <c r="G56" s="285">
        <f t="shared" si="3"/>
        <v>0</v>
      </c>
      <c r="H56" s="299"/>
      <c r="I56" s="3"/>
    </row>
    <row r="57" spans="1:11" x14ac:dyDescent="0.2">
      <c r="A57" s="60"/>
      <c r="B57" s="215">
        <v>29</v>
      </c>
      <c r="C57" s="212">
        <f t="shared" ca="1" si="0"/>
        <v>46795</v>
      </c>
      <c r="D57" s="208">
        <f t="shared" si="1"/>
        <v>0</v>
      </c>
      <c r="E57" s="196">
        <v>0</v>
      </c>
      <c r="F57" s="196">
        <f t="shared" si="2"/>
        <v>0</v>
      </c>
      <c r="G57" s="285">
        <f t="shared" si="3"/>
        <v>0</v>
      </c>
      <c r="H57" s="299"/>
      <c r="I57" s="3"/>
    </row>
    <row r="58" spans="1:11" x14ac:dyDescent="0.2">
      <c r="A58" s="60">
        <v>25</v>
      </c>
      <c r="B58" s="215">
        <v>30</v>
      </c>
      <c r="C58" s="212">
        <f t="shared" ca="1" si="0"/>
        <v>46824</v>
      </c>
      <c r="D58" s="208">
        <f t="shared" si="1"/>
        <v>0</v>
      </c>
      <c r="E58" s="196">
        <v>0</v>
      </c>
      <c r="F58" s="196">
        <f t="shared" si="2"/>
        <v>0</v>
      </c>
      <c r="G58" s="285">
        <f t="shared" si="3"/>
        <v>0</v>
      </c>
      <c r="H58" s="299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46855</v>
      </c>
      <c r="D59" s="208">
        <f t="shared" si="1"/>
        <v>0</v>
      </c>
      <c r="E59" s="196">
        <v>0</v>
      </c>
      <c r="F59" s="196">
        <f t="shared" si="2"/>
        <v>0</v>
      </c>
      <c r="G59" s="285">
        <f t="shared" si="3"/>
        <v>0</v>
      </c>
      <c r="H59" s="299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46885</v>
      </c>
      <c r="D60" s="208">
        <f t="shared" si="1"/>
        <v>0</v>
      </c>
      <c r="E60" s="196">
        <v>0</v>
      </c>
      <c r="F60" s="196">
        <f t="shared" si="2"/>
        <v>0</v>
      </c>
      <c r="G60" s="285">
        <f t="shared" si="3"/>
        <v>0</v>
      </c>
      <c r="H60" s="299"/>
      <c r="I60" s="134"/>
      <c r="J60" s="134"/>
    </row>
    <row r="61" spans="1:11" x14ac:dyDescent="0.2">
      <c r="A61" s="60"/>
      <c r="B61" s="215">
        <v>33</v>
      </c>
      <c r="C61" s="212">
        <f t="shared" ca="1" si="0"/>
        <v>46916</v>
      </c>
      <c r="D61" s="208">
        <f t="shared" si="1"/>
        <v>0</v>
      </c>
      <c r="E61" s="196">
        <v>0</v>
      </c>
      <c r="F61" s="196">
        <f t="shared" si="2"/>
        <v>0</v>
      </c>
      <c r="G61" s="285">
        <f t="shared" si="3"/>
        <v>0</v>
      </c>
      <c r="H61" s="299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46946</v>
      </c>
      <c r="D62" s="208">
        <f t="shared" si="1"/>
        <v>0</v>
      </c>
      <c r="E62" s="196">
        <v>0</v>
      </c>
      <c r="F62" s="196">
        <f t="shared" si="2"/>
        <v>0</v>
      </c>
      <c r="G62" s="285">
        <f t="shared" si="3"/>
        <v>0</v>
      </c>
      <c r="H62" s="299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46977</v>
      </c>
      <c r="D63" s="208">
        <f t="shared" si="1"/>
        <v>0</v>
      </c>
      <c r="E63" s="196">
        <v>0</v>
      </c>
      <c r="F63" s="196">
        <f t="shared" si="2"/>
        <v>0</v>
      </c>
      <c r="G63" s="285">
        <f t="shared" si="3"/>
        <v>0</v>
      </c>
      <c r="H63" s="299"/>
      <c r="I63" s="134"/>
      <c r="J63" s="134"/>
    </row>
    <row r="64" spans="1:11" x14ac:dyDescent="0.2">
      <c r="A64" s="60"/>
      <c r="B64" s="215">
        <v>36</v>
      </c>
      <c r="C64" s="212">
        <f t="shared" ca="1" si="0"/>
        <v>47008</v>
      </c>
      <c r="D64" s="208">
        <f t="shared" si="1"/>
        <v>0</v>
      </c>
      <c r="E64" s="196">
        <v>0</v>
      </c>
      <c r="F64" s="196">
        <f t="shared" si="2"/>
        <v>0</v>
      </c>
      <c r="G64" s="285">
        <f t="shared" si="3"/>
        <v>0</v>
      </c>
      <c r="H64" s="299"/>
      <c r="I64" s="134"/>
      <c r="J64" s="134"/>
    </row>
    <row r="65" spans="1:10" x14ac:dyDescent="0.2">
      <c r="A65" s="60"/>
      <c r="B65" s="215">
        <v>37</v>
      </c>
      <c r="C65" s="212">
        <f t="shared" ca="1" si="0"/>
        <v>47038</v>
      </c>
      <c r="D65" s="208">
        <f t="shared" si="1"/>
        <v>0</v>
      </c>
      <c r="E65" s="196">
        <v>0</v>
      </c>
      <c r="F65" s="196">
        <f t="shared" si="2"/>
        <v>0</v>
      </c>
      <c r="G65" s="285">
        <f t="shared" si="3"/>
        <v>0</v>
      </c>
      <c r="H65" s="299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47069</v>
      </c>
      <c r="D66" s="208">
        <f t="shared" si="1"/>
        <v>0</v>
      </c>
      <c r="E66" s="196">
        <v>0</v>
      </c>
      <c r="F66" s="196">
        <f t="shared" si="2"/>
        <v>0</v>
      </c>
      <c r="G66" s="285">
        <f t="shared" si="3"/>
        <v>0</v>
      </c>
      <c r="H66" s="299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47099</v>
      </c>
      <c r="D67" s="208">
        <f t="shared" si="1"/>
        <v>0</v>
      </c>
      <c r="E67" s="196">
        <v>0</v>
      </c>
      <c r="F67" s="196">
        <f t="shared" si="2"/>
        <v>0</v>
      </c>
      <c r="G67" s="285">
        <f t="shared" si="3"/>
        <v>0</v>
      </c>
      <c r="H67" s="299"/>
      <c r="I67" s="134"/>
      <c r="J67" s="134"/>
    </row>
    <row r="68" spans="1:10" x14ac:dyDescent="0.2">
      <c r="A68" s="60"/>
      <c r="B68" s="215">
        <v>40</v>
      </c>
      <c r="C68" s="212">
        <f t="shared" ca="1" si="0"/>
        <v>47130</v>
      </c>
      <c r="D68" s="208">
        <f t="shared" si="1"/>
        <v>0</v>
      </c>
      <c r="E68" s="196">
        <v>0</v>
      </c>
      <c r="F68" s="196">
        <f t="shared" si="2"/>
        <v>0</v>
      </c>
      <c r="G68" s="285">
        <f t="shared" si="3"/>
        <v>0</v>
      </c>
      <c r="H68" s="299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47161</v>
      </c>
      <c r="D69" s="208">
        <f t="shared" si="1"/>
        <v>0</v>
      </c>
      <c r="E69" s="196">
        <v>0</v>
      </c>
      <c r="F69" s="196">
        <f t="shared" si="2"/>
        <v>0</v>
      </c>
      <c r="G69" s="285">
        <f t="shared" si="3"/>
        <v>0</v>
      </c>
      <c r="H69" s="299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47189</v>
      </c>
      <c r="D70" s="208">
        <f t="shared" si="1"/>
        <v>0</v>
      </c>
      <c r="E70" s="196">
        <v>0</v>
      </c>
      <c r="F70" s="196">
        <f t="shared" si="2"/>
        <v>0</v>
      </c>
      <c r="G70" s="285">
        <f t="shared" si="3"/>
        <v>0</v>
      </c>
      <c r="H70" s="299"/>
      <c r="I70" s="134"/>
      <c r="J70" s="134"/>
    </row>
    <row r="71" spans="1:10" x14ac:dyDescent="0.2">
      <c r="A71" s="60"/>
      <c r="B71" s="215">
        <v>43</v>
      </c>
      <c r="C71" s="212">
        <f t="shared" ca="1" si="0"/>
        <v>47220</v>
      </c>
      <c r="D71" s="208">
        <f t="shared" si="1"/>
        <v>0</v>
      </c>
      <c r="E71" s="196">
        <v>0</v>
      </c>
      <c r="F71" s="196">
        <f t="shared" si="2"/>
        <v>0</v>
      </c>
      <c r="G71" s="285">
        <f t="shared" si="3"/>
        <v>0</v>
      </c>
      <c r="H71" s="299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47250</v>
      </c>
      <c r="D72" s="208">
        <f t="shared" si="1"/>
        <v>0</v>
      </c>
      <c r="E72" s="196">
        <v>0</v>
      </c>
      <c r="F72" s="196">
        <f t="shared" si="2"/>
        <v>0</v>
      </c>
      <c r="G72" s="285">
        <f t="shared" si="3"/>
        <v>0</v>
      </c>
      <c r="H72" s="299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47281</v>
      </c>
      <c r="D73" s="208">
        <f t="shared" si="1"/>
        <v>0</v>
      </c>
      <c r="E73" s="196">
        <v>0</v>
      </c>
      <c r="F73" s="196">
        <f t="shared" si="2"/>
        <v>0</v>
      </c>
      <c r="G73" s="285">
        <f t="shared" si="3"/>
        <v>0</v>
      </c>
      <c r="H73" s="299"/>
      <c r="I73" s="134"/>
      <c r="J73" s="134"/>
    </row>
    <row r="74" spans="1:10" x14ac:dyDescent="0.2">
      <c r="A74" s="60"/>
      <c r="B74" s="215">
        <v>46</v>
      </c>
      <c r="C74" s="212">
        <f t="shared" ca="1" si="0"/>
        <v>47311</v>
      </c>
      <c r="D74" s="208">
        <f t="shared" si="1"/>
        <v>0</v>
      </c>
      <c r="E74" s="196">
        <v>0</v>
      </c>
      <c r="F74" s="196">
        <f t="shared" si="2"/>
        <v>0</v>
      </c>
      <c r="G74" s="285">
        <f t="shared" si="3"/>
        <v>0</v>
      </c>
      <c r="H74" s="299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47342</v>
      </c>
      <c r="D75" s="208">
        <f t="shared" si="1"/>
        <v>0</v>
      </c>
      <c r="E75" s="196">
        <v>0</v>
      </c>
      <c r="F75" s="196">
        <f t="shared" si="2"/>
        <v>0</v>
      </c>
      <c r="G75" s="285">
        <f t="shared" si="3"/>
        <v>0</v>
      </c>
      <c r="H75" s="299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47373</v>
      </c>
      <c r="D76" s="208">
        <f t="shared" si="1"/>
        <v>0</v>
      </c>
      <c r="E76" s="196">
        <v>0</v>
      </c>
      <c r="F76" s="196">
        <f t="shared" si="2"/>
        <v>0</v>
      </c>
      <c r="G76" s="285">
        <f t="shared" si="3"/>
        <v>0</v>
      </c>
      <c r="H76" s="299"/>
      <c r="I76" s="134"/>
      <c r="J76" s="134"/>
    </row>
    <row r="77" spans="1:10" x14ac:dyDescent="0.2">
      <c r="A77" s="60"/>
      <c r="B77" s="215">
        <v>49</v>
      </c>
      <c r="C77" s="212">
        <f t="shared" ca="1" si="0"/>
        <v>47403</v>
      </c>
      <c r="D77" s="208">
        <f t="shared" si="1"/>
        <v>0</v>
      </c>
      <c r="E77" s="196">
        <v>0</v>
      </c>
      <c r="F77" s="196">
        <f t="shared" si="2"/>
        <v>0</v>
      </c>
      <c r="G77" s="285">
        <f t="shared" si="3"/>
        <v>0</v>
      </c>
      <c r="H77" s="299"/>
      <c r="I77" s="134"/>
      <c r="J77" s="134"/>
    </row>
    <row r="78" spans="1:10" x14ac:dyDescent="0.2">
      <c r="A78" s="60"/>
      <c r="B78" s="215">
        <v>50</v>
      </c>
      <c r="C78" s="212">
        <f t="shared" ca="1" si="0"/>
        <v>47434</v>
      </c>
      <c r="D78" s="208">
        <f t="shared" si="1"/>
        <v>0</v>
      </c>
      <c r="E78" s="196">
        <v>0</v>
      </c>
      <c r="F78" s="196">
        <f t="shared" si="2"/>
        <v>0</v>
      </c>
      <c r="G78" s="285">
        <f t="shared" si="3"/>
        <v>0</v>
      </c>
      <c r="H78" s="299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47464</v>
      </c>
      <c r="D79" s="208">
        <f t="shared" si="1"/>
        <v>0</v>
      </c>
      <c r="E79" s="196">
        <v>0</v>
      </c>
      <c r="F79" s="196">
        <f t="shared" si="2"/>
        <v>0</v>
      </c>
      <c r="G79" s="285">
        <f t="shared" si="3"/>
        <v>0</v>
      </c>
      <c r="H79" s="299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47495</v>
      </c>
      <c r="D80" s="208">
        <f t="shared" si="1"/>
        <v>0</v>
      </c>
      <c r="E80" s="196">
        <v>0</v>
      </c>
      <c r="F80" s="196">
        <f t="shared" si="2"/>
        <v>0</v>
      </c>
      <c r="G80" s="285">
        <f t="shared" si="3"/>
        <v>0</v>
      </c>
      <c r="H80" s="299"/>
      <c r="I80" s="134"/>
      <c r="J80" s="134"/>
    </row>
    <row r="81" spans="1:10" x14ac:dyDescent="0.2">
      <c r="A81" s="60"/>
      <c r="B81" s="215">
        <v>53</v>
      </c>
      <c r="C81" s="212">
        <f t="shared" ca="1" si="0"/>
        <v>47526</v>
      </c>
      <c r="D81" s="208">
        <f t="shared" si="1"/>
        <v>0</v>
      </c>
      <c r="E81" s="196">
        <v>0</v>
      </c>
      <c r="F81" s="196">
        <f t="shared" si="2"/>
        <v>0</v>
      </c>
      <c r="G81" s="285">
        <f t="shared" si="3"/>
        <v>0</v>
      </c>
      <c r="H81" s="299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47554</v>
      </c>
      <c r="D82" s="208">
        <f t="shared" si="1"/>
        <v>0</v>
      </c>
      <c r="E82" s="196">
        <v>0</v>
      </c>
      <c r="F82" s="196">
        <f t="shared" si="2"/>
        <v>0</v>
      </c>
      <c r="G82" s="285">
        <f t="shared" si="3"/>
        <v>0</v>
      </c>
      <c r="H82" s="299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47585</v>
      </c>
      <c r="D83" s="208">
        <f t="shared" si="1"/>
        <v>0</v>
      </c>
      <c r="E83" s="196">
        <v>0</v>
      </c>
      <c r="F83" s="196">
        <f t="shared" si="2"/>
        <v>0</v>
      </c>
      <c r="G83" s="285">
        <f t="shared" si="3"/>
        <v>0</v>
      </c>
      <c r="H83" s="299"/>
      <c r="I83" s="134"/>
      <c r="J83" s="134"/>
    </row>
    <row r="84" spans="1:10" x14ac:dyDescent="0.2">
      <c r="A84" s="60"/>
      <c r="B84" s="215">
        <v>56</v>
      </c>
      <c r="C84" s="212">
        <f t="shared" ca="1" si="0"/>
        <v>47615</v>
      </c>
      <c r="D84" s="208">
        <f t="shared" si="1"/>
        <v>0</v>
      </c>
      <c r="E84" s="196">
        <v>0</v>
      </c>
      <c r="F84" s="196">
        <f t="shared" si="2"/>
        <v>0</v>
      </c>
      <c r="G84" s="285">
        <f t="shared" si="3"/>
        <v>0</v>
      </c>
      <c r="H84" s="299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47646</v>
      </c>
      <c r="D85" s="208">
        <f t="shared" si="1"/>
        <v>0</v>
      </c>
      <c r="E85" s="196">
        <v>0</v>
      </c>
      <c r="F85" s="196">
        <f t="shared" si="2"/>
        <v>0</v>
      </c>
      <c r="G85" s="285">
        <f t="shared" si="3"/>
        <v>0</v>
      </c>
      <c r="H85" s="299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47676</v>
      </c>
      <c r="D86" s="208">
        <f t="shared" si="1"/>
        <v>0</v>
      </c>
      <c r="E86" s="196">
        <v>0</v>
      </c>
      <c r="F86" s="196">
        <f t="shared" si="2"/>
        <v>0</v>
      </c>
      <c r="G86" s="285">
        <f t="shared" si="3"/>
        <v>0</v>
      </c>
      <c r="H86" s="299"/>
      <c r="I86" s="134"/>
      <c r="J86" s="134"/>
    </row>
    <row r="87" spans="1:10" x14ac:dyDescent="0.2">
      <c r="A87" s="60"/>
      <c r="B87" s="215">
        <v>59</v>
      </c>
      <c r="C87" s="212">
        <f t="shared" ca="1" si="0"/>
        <v>47707</v>
      </c>
      <c r="D87" s="208">
        <f t="shared" si="1"/>
        <v>0</v>
      </c>
      <c r="E87" s="196">
        <v>0</v>
      </c>
      <c r="F87" s="196">
        <f t="shared" si="2"/>
        <v>0</v>
      </c>
      <c r="G87" s="285">
        <f t="shared" si="3"/>
        <v>0</v>
      </c>
      <c r="H87" s="299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47738</v>
      </c>
      <c r="D88" s="209">
        <f t="shared" si="1"/>
        <v>0</v>
      </c>
      <c r="E88" s="210">
        <v>0</v>
      </c>
      <c r="F88" s="210">
        <f t="shared" si="2"/>
        <v>0</v>
      </c>
      <c r="G88" s="300">
        <f t="shared" si="3"/>
        <v>0</v>
      </c>
      <c r="H88" s="301"/>
      <c r="I88" s="134"/>
      <c r="J88" s="134"/>
    </row>
    <row r="89" spans="1:10" ht="16.5" thickBot="1" x14ac:dyDescent="0.25">
      <c r="A89" s="60"/>
      <c r="B89" s="247" t="s">
        <v>3</v>
      </c>
      <c r="C89" s="282"/>
      <c r="D89" s="206">
        <f>SUM(D29:D88)</f>
        <v>115000</v>
      </c>
      <c r="E89" s="206">
        <f>SUM(E29:E88)</f>
        <v>0</v>
      </c>
      <c r="F89" s="206">
        <f>SUM(F29:F88)</f>
        <v>88258.577271771763</v>
      </c>
      <c r="G89" s="297">
        <f>SUM(G29:H88)</f>
        <v>203258.57727177179</v>
      </c>
      <c r="H89" s="298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51" t="s">
        <v>5</v>
      </c>
      <c r="F91" s="251"/>
      <c r="G91" s="251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myJ5pi5d/xXnEFwhoDj0PyJG/hu9/glKBAKtRUoAcrqTgM4sg1VZL8gSpoV8pu9L4MgLp9vHVZO5YqYafoAlmQ==" saltValue="MgBzpIR0rP7ux+4DG2Y8Tw==" spinCount="100000" sheet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600-000000000000}">
      <formula1>$K$9:$K$12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>
    <tabColor rgb="FF00B05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A28" sqref="A28:XFD2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29" ht="12.75" customHeight="1" x14ac:dyDescent="0.2">
      <c r="A2" s="2"/>
      <c r="B2" s="61"/>
      <c r="C2" s="61"/>
      <c r="D2" s="61"/>
      <c r="E2" s="139" t="e">
        <f>VLOOKUP('Від 200 000 до 500 000'!H2,Лист2!A:N,14,FALSE)</f>
        <v>#N/A</v>
      </c>
      <c r="F2" s="126" t="e">
        <f>VLOOKUP(H$2,Лист2!$A:$G,2,0)</f>
        <v>#N/A</v>
      </c>
      <c r="G2" s="185">
        <f ca="1">TODAY()</f>
        <v>45912</v>
      </c>
      <c r="H2" s="267" t="s">
        <v>70</v>
      </c>
      <c r="I2" s="268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</row>
    <row r="4" spans="1:29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29" ht="21" customHeight="1" thickBot="1" x14ac:dyDescent="0.25">
      <c r="A5" s="1"/>
      <c r="B5" s="294" t="s">
        <v>82</v>
      </c>
      <c r="C5" s="295"/>
      <c r="D5" s="295"/>
      <c r="E5" s="296"/>
      <c r="F5" s="205">
        <v>500000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6" t="s">
        <v>81</v>
      </c>
      <c r="C7" s="277"/>
      <c r="D7" s="277"/>
      <c r="E7" s="278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 t="e">
        <f>VLOOKUP(H$2,Лист2!$A:$G,4,0)</f>
        <v>#N/A</v>
      </c>
      <c r="G9" s="289"/>
      <c r="H9" s="289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76" t="str">
        <f>Назви!A7</f>
        <v>Разовий страховий тариф, %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 t="e">
        <f>VLOOKUP(H$2,Лист2!$A:$G,5,0)</f>
        <v>#N/A</v>
      </c>
      <c r="G11" s="289"/>
      <c r="H11" s="289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76" t="str">
        <f>Назви!A9</f>
        <v xml:space="preserve">Щомісячна плата за обслуговування кредитної заборгованості, % </v>
      </c>
      <c r="C13" s="277">
        <f>Назви!B9</f>
        <v>0</v>
      </c>
      <c r="D13" s="277">
        <f>Назви!C9</f>
        <v>0</v>
      </c>
      <c r="E13" s="278">
        <f>Назви!D9</f>
        <v>0</v>
      </c>
      <c r="F13" s="38" t="e">
        <f>VLOOKUP(H$2,Лист2!$A:$G,6,0)</f>
        <v>#N/A</v>
      </c>
      <c r="G13" s="289"/>
      <c r="H13" s="289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76" t="str">
        <f>Назви!A11</f>
        <v>Термін кредитування (міс.)</v>
      </c>
      <c r="C15" s="277">
        <f>Назви!B11</f>
        <v>0</v>
      </c>
      <c r="D15" s="277">
        <f>Назви!C11</f>
        <v>0</v>
      </c>
      <c r="E15" s="278">
        <f>Назви!D11</f>
        <v>0</v>
      </c>
      <c r="F15" s="64" t="e">
        <f>VLOOKUP(H$2,Лист2!$A:$G,3,0)</f>
        <v>#N/A</v>
      </c>
      <c r="G15" s="289"/>
      <c r="H15" s="289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9" t="str">
        <f>Назви!A14</f>
        <v>Орієнтовний платіж, грн.</v>
      </c>
      <c r="C18" s="280">
        <f>Назви!B14</f>
        <v>0</v>
      </c>
      <c r="D18" s="280">
        <f>Назви!C14</f>
        <v>0</v>
      </c>
      <c r="E18" s="281">
        <f>Назви!D14</f>
        <v>0</v>
      </c>
      <c r="F18" s="13" t="e">
        <f>PMT(F9/12,F15,-E17)+F13*E17</f>
        <v>#N/A</v>
      </c>
      <c r="G18" s="290"/>
      <c r="H18" s="291"/>
      <c r="I18" s="133"/>
      <c r="J18" s="52"/>
      <c r="K18" s="162" t="str">
        <f>Лист2!A5</f>
        <v>Мобільний СК,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Мобільний СК,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Назви!A16</f>
        <v>Орієнтовні загальні витрати за кредитом, грн.</v>
      </c>
      <c r="C20" s="280">
        <f>Назви!B16</f>
        <v>0</v>
      </c>
      <c r="D20" s="280">
        <f>Назви!C16</f>
        <v>0</v>
      </c>
      <c r="E20" s="281">
        <f>Назви!D16</f>
        <v>0</v>
      </c>
      <c r="F20" s="13" t="e">
        <f>G89-E3</f>
        <v>#N/A</v>
      </c>
      <c r="G20" s="292"/>
      <c r="H20" s="292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>Мобільний СК, 12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Назви!A18</f>
        <v>Орієнтовна загальна вартість кредиту, грн.</v>
      </c>
      <c r="C22" s="280">
        <f>Назви!B18</f>
        <v>0</v>
      </c>
      <c r="D22" s="280">
        <f>Назви!C18</f>
        <v>0</v>
      </c>
      <c r="E22" s="281">
        <f>Назви!D18</f>
        <v>0</v>
      </c>
      <c r="F22" s="13" t="e">
        <f>E3+F20</f>
        <v>#N/A</v>
      </c>
      <c r="G22" s="289"/>
      <c r="H22" s="289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Назви!A20</f>
        <v>Реальна річна процентна ставка, %</v>
      </c>
      <c r="C24" s="280"/>
      <c r="D24" s="280"/>
      <c r="E24" s="281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8" t="str">
        <f>Назви!A29</f>
        <v>Орієнтовний порядок повернення кредиту</v>
      </c>
      <c r="C26" s="259"/>
      <c r="D26" s="259"/>
      <c r="E26" s="259"/>
      <c r="F26" s="259"/>
      <c r="G26" s="259"/>
      <c r="H26" s="26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1" t="str">
        <f>Назви!F30</f>
        <v>Сума платежу за розрахунковий період, грн.</v>
      </c>
      <c r="H27" s="26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45912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45942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85" t="e">
        <f>SUM(D29:F29)</f>
        <v>#N/A</v>
      </c>
      <c r="H29" s="285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45973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85" t="e">
        <f t="shared" ref="G30:G88" si="1">SUM(D30:F30)</f>
        <v>#N/A</v>
      </c>
      <c r="H30" s="285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46003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85" t="e">
        <f t="shared" si="1"/>
        <v>#N/A</v>
      </c>
      <c r="H31" s="285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46034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85" t="e">
        <f t="shared" si="1"/>
        <v>#N/A</v>
      </c>
      <c r="H32" s="285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46065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85" t="e">
        <f t="shared" si="1"/>
        <v>#N/A</v>
      </c>
      <c r="H33" s="285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46093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85" t="e">
        <f t="shared" si="1"/>
        <v>#N/A</v>
      </c>
      <c r="H34" s="285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46124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85" t="e">
        <f t="shared" si="1"/>
        <v>#N/A</v>
      </c>
      <c r="H35" s="285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46154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85" t="e">
        <f t="shared" si="1"/>
        <v>#N/A</v>
      </c>
      <c r="H36" s="285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46185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85" t="e">
        <f t="shared" si="1"/>
        <v>#N/A</v>
      </c>
      <c r="H37" s="285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46215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85" t="e">
        <f t="shared" si="1"/>
        <v>#N/A</v>
      </c>
      <c r="H38" s="285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46246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85" t="e">
        <f t="shared" si="1"/>
        <v>#N/A</v>
      </c>
      <c r="H39" s="285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46277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85" t="e">
        <f t="shared" si="1"/>
        <v>#N/A</v>
      </c>
      <c r="H40" s="285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46307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85" t="e">
        <f t="shared" si="1"/>
        <v>#N/A</v>
      </c>
      <c r="H41" s="285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46338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85" t="e">
        <f t="shared" si="1"/>
        <v>#N/A</v>
      </c>
      <c r="H42" s="285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46368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85" t="e">
        <f t="shared" si="1"/>
        <v>#N/A</v>
      </c>
      <c r="H43" s="285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46399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85" t="e">
        <f t="shared" si="1"/>
        <v>#N/A</v>
      </c>
      <c r="H44" s="285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46430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85" t="e">
        <f t="shared" si="1"/>
        <v>#N/A</v>
      </c>
      <c r="H45" s="285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46458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85" t="e">
        <f t="shared" si="1"/>
        <v>#N/A</v>
      </c>
      <c r="H46" s="285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46489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85" t="e">
        <f t="shared" si="1"/>
        <v>#N/A</v>
      </c>
      <c r="H47" s="285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46519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85" t="e">
        <f t="shared" si="1"/>
        <v>#N/A</v>
      </c>
      <c r="H48" s="285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46550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85" t="e">
        <f t="shared" si="1"/>
        <v>#N/A</v>
      </c>
      <c r="H49" s="285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46580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85" t="e">
        <f t="shared" si="1"/>
        <v>#N/A</v>
      </c>
      <c r="H50" s="285"/>
      <c r="I50" s="3"/>
    </row>
    <row r="51" spans="1:11" x14ac:dyDescent="0.2">
      <c r="A51" s="60">
        <v>25</v>
      </c>
      <c r="B51" s="128">
        <v>23</v>
      </c>
      <c r="C51" s="132">
        <f t="shared" ca="1" si="0"/>
        <v>46611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85" t="e">
        <f t="shared" si="1"/>
        <v>#N/A</v>
      </c>
      <c r="H51" s="285"/>
      <c r="I51" s="3"/>
    </row>
    <row r="52" spans="1:11" x14ac:dyDescent="0.2">
      <c r="A52" s="60"/>
      <c r="B52" s="128">
        <v>24</v>
      </c>
      <c r="C52" s="132">
        <f t="shared" ca="1" si="0"/>
        <v>46642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85" t="e">
        <f t="shared" si="1"/>
        <v>#N/A</v>
      </c>
      <c r="H52" s="285"/>
      <c r="I52" s="3"/>
    </row>
    <row r="53" spans="1:11" x14ac:dyDescent="0.2">
      <c r="A53" s="60"/>
      <c r="B53" s="128">
        <v>25</v>
      </c>
      <c r="C53" s="132">
        <f t="shared" ca="1" si="0"/>
        <v>46672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85" t="e">
        <f t="shared" si="1"/>
        <v>#N/A</v>
      </c>
      <c r="H53" s="285"/>
      <c r="I53" s="3"/>
    </row>
    <row r="54" spans="1:11" x14ac:dyDescent="0.2">
      <c r="A54" s="60"/>
      <c r="B54" s="128">
        <v>26</v>
      </c>
      <c r="C54" s="132">
        <f t="shared" ca="1" si="0"/>
        <v>46703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85" t="e">
        <f t="shared" si="1"/>
        <v>#N/A</v>
      </c>
      <c r="H54" s="285"/>
      <c r="I54" s="3"/>
    </row>
    <row r="55" spans="1:11" x14ac:dyDescent="0.2">
      <c r="A55" s="60"/>
      <c r="B55" s="128">
        <v>27</v>
      </c>
      <c r="C55" s="132">
        <f t="shared" ca="1" si="0"/>
        <v>46733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85" t="e">
        <f t="shared" si="1"/>
        <v>#N/A</v>
      </c>
      <c r="H55" s="285"/>
      <c r="I55" s="3"/>
    </row>
    <row r="56" spans="1:11" x14ac:dyDescent="0.2">
      <c r="A56" s="60"/>
      <c r="B56" s="128">
        <v>28</v>
      </c>
      <c r="C56" s="132">
        <f t="shared" ca="1" si="0"/>
        <v>46764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85" t="e">
        <f t="shared" si="1"/>
        <v>#N/A</v>
      </c>
      <c r="H56" s="285"/>
      <c r="I56" s="3"/>
    </row>
    <row r="57" spans="1:11" x14ac:dyDescent="0.2">
      <c r="A57" s="60"/>
      <c r="B57" s="128">
        <v>29</v>
      </c>
      <c r="C57" s="132">
        <f t="shared" ca="1" si="0"/>
        <v>46795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85" t="e">
        <f t="shared" si="1"/>
        <v>#N/A</v>
      </c>
      <c r="H57" s="285"/>
      <c r="I57" s="3"/>
    </row>
    <row r="58" spans="1:11" x14ac:dyDescent="0.2">
      <c r="A58" s="60">
        <v>25</v>
      </c>
      <c r="B58" s="128">
        <v>30</v>
      </c>
      <c r="C58" s="132">
        <f t="shared" ca="1" si="0"/>
        <v>46824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85" t="e">
        <f t="shared" si="1"/>
        <v>#N/A</v>
      </c>
      <c r="H58" s="285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46855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85" t="e">
        <f t="shared" si="1"/>
        <v>#N/A</v>
      </c>
      <c r="H59" s="285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46885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85" t="e">
        <f t="shared" si="1"/>
        <v>#N/A</v>
      </c>
      <c r="H60" s="285"/>
      <c r="I60" s="134"/>
      <c r="J60" s="134"/>
    </row>
    <row r="61" spans="1:11" x14ac:dyDescent="0.2">
      <c r="A61" s="60"/>
      <c r="B61" s="128">
        <v>33</v>
      </c>
      <c r="C61" s="132">
        <f t="shared" ca="1" si="0"/>
        <v>46916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85" t="e">
        <f t="shared" si="1"/>
        <v>#N/A</v>
      </c>
      <c r="H61" s="285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46946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85" t="e">
        <f t="shared" si="1"/>
        <v>#N/A</v>
      </c>
      <c r="H62" s="285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46977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85" t="e">
        <f t="shared" si="1"/>
        <v>#N/A</v>
      </c>
      <c r="H63" s="285"/>
      <c r="I63" s="134"/>
      <c r="J63" s="134"/>
    </row>
    <row r="64" spans="1:11" x14ac:dyDescent="0.2">
      <c r="A64" s="60"/>
      <c r="B64" s="128">
        <v>36</v>
      </c>
      <c r="C64" s="132">
        <f t="shared" ca="1" si="0"/>
        <v>47008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85" t="e">
        <f t="shared" si="1"/>
        <v>#N/A</v>
      </c>
      <c r="H64" s="285"/>
      <c r="I64" s="134"/>
      <c r="J64" s="134"/>
    </row>
    <row r="65" spans="1:10" x14ac:dyDescent="0.2">
      <c r="A65" s="60"/>
      <c r="B65" s="128">
        <v>37</v>
      </c>
      <c r="C65" s="132">
        <f t="shared" ca="1" si="0"/>
        <v>47038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85" t="e">
        <f t="shared" si="1"/>
        <v>#N/A</v>
      </c>
      <c r="H65" s="285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47069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85" t="e">
        <f t="shared" si="1"/>
        <v>#N/A</v>
      </c>
      <c r="H66" s="285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47099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85" t="e">
        <f t="shared" si="1"/>
        <v>#N/A</v>
      </c>
      <c r="H67" s="285"/>
      <c r="I67" s="134"/>
      <c r="J67" s="134"/>
    </row>
    <row r="68" spans="1:10" x14ac:dyDescent="0.2">
      <c r="A68" s="60"/>
      <c r="B68" s="128">
        <v>40</v>
      </c>
      <c r="C68" s="132">
        <f t="shared" ca="1" si="0"/>
        <v>47130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85" t="e">
        <f t="shared" si="1"/>
        <v>#N/A</v>
      </c>
      <c r="H68" s="285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47161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85" t="e">
        <f t="shared" si="1"/>
        <v>#N/A</v>
      </c>
      <c r="H69" s="285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47189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85" t="e">
        <f t="shared" si="1"/>
        <v>#N/A</v>
      </c>
      <c r="H70" s="285"/>
      <c r="I70" s="134"/>
      <c r="J70" s="134"/>
    </row>
    <row r="71" spans="1:10" x14ac:dyDescent="0.2">
      <c r="A71" s="60"/>
      <c r="B71" s="128">
        <v>43</v>
      </c>
      <c r="C71" s="132">
        <f t="shared" ca="1" si="0"/>
        <v>47220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85" t="e">
        <f t="shared" si="1"/>
        <v>#N/A</v>
      </c>
      <c r="H71" s="285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47250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85" t="e">
        <f t="shared" si="1"/>
        <v>#N/A</v>
      </c>
      <c r="H72" s="285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47281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85" t="e">
        <f t="shared" si="1"/>
        <v>#N/A</v>
      </c>
      <c r="H73" s="285"/>
      <c r="I73" s="134"/>
      <c r="J73" s="134"/>
    </row>
    <row r="74" spans="1:10" x14ac:dyDescent="0.2">
      <c r="A74" s="60"/>
      <c r="B74" s="128">
        <v>46</v>
      </c>
      <c r="C74" s="132">
        <f t="shared" ca="1" si="0"/>
        <v>47311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85" t="e">
        <f t="shared" si="1"/>
        <v>#N/A</v>
      </c>
      <c r="H74" s="285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47342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85" t="e">
        <f t="shared" si="1"/>
        <v>#N/A</v>
      </c>
      <c r="H75" s="285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47373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85" t="e">
        <f t="shared" si="1"/>
        <v>#N/A</v>
      </c>
      <c r="H76" s="285"/>
      <c r="I76" s="134"/>
      <c r="J76" s="134"/>
    </row>
    <row r="77" spans="1:10" x14ac:dyDescent="0.2">
      <c r="A77" s="60"/>
      <c r="B77" s="128">
        <v>49</v>
      </c>
      <c r="C77" s="132">
        <f t="shared" ca="1" si="0"/>
        <v>47403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85" t="e">
        <f t="shared" si="1"/>
        <v>#N/A</v>
      </c>
      <c r="H77" s="285"/>
      <c r="I77" s="134"/>
      <c r="J77" s="134"/>
    </row>
    <row r="78" spans="1:10" x14ac:dyDescent="0.2">
      <c r="A78" s="60"/>
      <c r="B78" s="128">
        <v>50</v>
      </c>
      <c r="C78" s="132">
        <f t="shared" ca="1" si="0"/>
        <v>47434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85" t="e">
        <f t="shared" si="1"/>
        <v>#N/A</v>
      </c>
      <c r="H78" s="285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47464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85" t="e">
        <f t="shared" si="1"/>
        <v>#N/A</v>
      </c>
      <c r="H79" s="285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47495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85" t="e">
        <f t="shared" si="1"/>
        <v>#N/A</v>
      </c>
      <c r="H80" s="285"/>
      <c r="I80" s="134"/>
      <c r="J80" s="134"/>
    </row>
    <row r="81" spans="1:10" x14ac:dyDescent="0.2">
      <c r="A81" s="60"/>
      <c r="B81" s="128">
        <v>53</v>
      </c>
      <c r="C81" s="132">
        <f t="shared" ca="1" si="0"/>
        <v>47526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85" t="e">
        <f t="shared" si="1"/>
        <v>#N/A</v>
      </c>
      <c r="H81" s="285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47554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85" t="e">
        <f t="shared" si="1"/>
        <v>#N/A</v>
      </c>
      <c r="H82" s="285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47585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85" t="e">
        <f t="shared" si="1"/>
        <v>#N/A</v>
      </c>
      <c r="H83" s="285"/>
      <c r="I83" s="134"/>
      <c r="J83" s="134"/>
    </row>
    <row r="84" spans="1:10" x14ac:dyDescent="0.2">
      <c r="A84" s="60"/>
      <c r="B84" s="128">
        <v>56</v>
      </c>
      <c r="C84" s="132">
        <f t="shared" ca="1" si="0"/>
        <v>47615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85" t="e">
        <f t="shared" si="1"/>
        <v>#N/A</v>
      </c>
      <c r="H84" s="285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47646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85" t="e">
        <f t="shared" si="1"/>
        <v>#N/A</v>
      </c>
      <c r="H85" s="285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47676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85" t="e">
        <f t="shared" si="1"/>
        <v>#N/A</v>
      </c>
      <c r="H86" s="285"/>
      <c r="I86" s="134"/>
      <c r="J86" s="134"/>
    </row>
    <row r="87" spans="1:10" x14ac:dyDescent="0.2">
      <c r="A87" s="60"/>
      <c r="B87" s="128">
        <v>59</v>
      </c>
      <c r="C87" s="132">
        <f t="shared" ca="1" si="0"/>
        <v>47707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85" t="e">
        <f t="shared" si="1"/>
        <v>#N/A</v>
      </c>
      <c r="H87" s="285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47738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86" t="e">
        <f t="shared" si="1"/>
        <v>#N/A</v>
      </c>
      <c r="H88" s="286"/>
      <c r="I88" s="134"/>
      <c r="J88" s="134"/>
    </row>
    <row r="89" spans="1:10" ht="16.5" thickBot="1" x14ac:dyDescent="0.25">
      <c r="A89" s="60"/>
      <c r="B89" s="247" t="s">
        <v>3</v>
      </c>
      <c r="C89" s="282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83" t="e">
        <f>SUM(G29:H88)</f>
        <v>#N/A</v>
      </c>
      <c r="H89" s="284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51" t="s">
        <v>5</v>
      </c>
      <c r="F91" s="251"/>
      <c r="G91" s="251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700-000000000000}">
      <formula1>$K$40:$K$44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N7"/>
  <sheetViews>
    <sheetView zoomScale="85" zoomScaleNormal="85" workbookViewId="0">
      <selection activeCell="F18" sqref="F18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4" width="9.140625" style="141"/>
    <col min="5" max="5" width="17.28515625" style="141" customWidth="1"/>
    <col min="6" max="6" width="16.85546875" style="141" customWidth="1"/>
    <col min="7" max="7" width="15.7109375" style="141" customWidth="1"/>
    <col min="8" max="10" width="9.140625" style="141" customWidth="1"/>
    <col min="11" max="13" width="17.42578125" style="141" customWidth="1"/>
    <col min="14" max="16384" width="9.140625" style="141"/>
  </cols>
  <sheetData>
    <row r="1" spans="1:14" x14ac:dyDescent="0.2">
      <c r="B1" s="141" t="s">
        <v>25</v>
      </c>
      <c r="C1" s="141" t="s">
        <v>26</v>
      </c>
      <c r="D1" s="141" t="s">
        <v>27</v>
      </c>
      <c r="E1" s="141" t="s">
        <v>28</v>
      </c>
      <c r="F1" s="141" t="s">
        <v>29</v>
      </c>
      <c r="J1" s="141" t="s">
        <v>20</v>
      </c>
      <c r="K1" s="141" t="s">
        <v>2</v>
      </c>
      <c r="L1" s="141" t="s">
        <v>38</v>
      </c>
      <c r="M1" s="141" t="s">
        <v>39</v>
      </c>
    </row>
    <row r="2" spans="1:14" x14ac:dyDescent="0.2">
      <c r="D2" s="144"/>
      <c r="E2" s="144"/>
      <c r="F2" s="144"/>
      <c r="H2" s="141" t="s">
        <v>31</v>
      </c>
      <c r="I2" s="141" t="s">
        <v>30</v>
      </c>
      <c r="K2" s="145"/>
      <c r="L2" s="145"/>
      <c r="M2" s="145"/>
    </row>
    <row r="3" spans="1:14" x14ac:dyDescent="0.2">
      <c r="A3" s="141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41">
        <v>8</v>
      </c>
      <c r="I3" s="141">
        <v>9</v>
      </c>
      <c r="J3" s="141">
        <v>10</v>
      </c>
      <c r="K3" s="141">
        <v>11</v>
      </c>
      <c r="L3" s="141">
        <v>12</v>
      </c>
      <c r="M3" s="141">
        <v>13</v>
      </c>
      <c r="N3" s="141">
        <v>14</v>
      </c>
    </row>
    <row r="4" spans="1:14" x14ac:dyDescent="0.2">
      <c r="A4" s="226" t="s">
        <v>98</v>
      </c>
      <c r="B4" s="226">
        <v>434782.61</v>
      </c>
      <c r="C4" s="226">
        <v>60</v>
      </c>
      <c r="D4" s="227">
        <v>0.63990000000000002</v>
      </c>
      <c r="E4" s="227">
        <v>0.15</v>
      </c>
      <c r="F4" s="227">
        <v>0</v>
      </c>
      <c r="G4" s="226" t="str">
        <f t="shared" ref="G4" si="0">I$2&amp;" "&amp;B4&amp;" "&amp;H$2</f>
        <v>max. 434782,61 грн.</v>
      </c>
      <c r="H4" s="226">
        <f t="shared" ref="H4" si="1">B4+B4*E4</f>
        <v>500000.00150000001</v>
      </c>
      <c r="I4" s="226"/>
      <c r="J4" s="226">
        <v>4</v>
      </c>
      <c r="K4" s="228">
        <f t="shared" ref="K4" si="2">D4/12/(1-1/POWER(1+D4/12,C4))*H4+H4*F4</f>
        <v>27897.960790918671</v>
      </c>
      <c r="L4" s="229">
        <v>0</v>
      </c>
      <c r="M4" s="230">
        <v>0</v>
      </c>
      <c r="N4" s="226">
        <v>5000</v>
      </c>
    </row>
    <row r="5" spans="1:14" x14ac:dyDescent="0.2">
      <c r="A5" s="226" t="s">
        <v>95</v>
      </c>
      <c r="B5" s="226">
        <v>434782.61</v>
      </c>
      <c r="C5" s="226">
        <v>36</v>
      </c>
      <c r="D5" s="227">
        <v>0.63990000000000002</v>
      </c>
      <c r="E5" s="227">
        <v>0.15</v>
      </c>
      <c r="F5" s="227">
        <v>0</v>
      </c>
      <c r="G5" s="226" t="str">
        <f t="shared" ref="G5:G7" si="3">I$2&amp;" "&amp;B5&amp;" "&amp;H$2</f>
        <v>max. 434782,61 грн.</v>
      </c>
      <c r="H5" s="226">
        <f t="shared" ref="H5:H7" si="4">B5+B5*E5</f>
        <v>500000.00150000001</v>
      </c>
      <c r="I5" s="226"/>
      <c r="J5" s="226">
        <v>4</v>
      </c>
      <c r="K5" s="228">
        <f t="shared" ref="K5:K7" si="5">D5/12/(1-1/POWER(1+D5/12,C5))*H5+H5*F5</f>
        <v>31519.038758075134</v>
      </c>
      <c r="L5" s="229">
        <v>0</v>
      </c>
      <c r="M5" s="230">
        <v>0</v>
      </c>
      <c r="N5" s="226">
        <v>5000</v>
      </c>
    </row>
    <row r="6" spans="1:14" x14ac:dyDescent="0.2">
      <c r="A6" s="226" t="s">
        <v>96</v>
      </c>
      <c r="B6" s="226">
        <v>434782.61</v>
      </c>
      <c r="C6" s="226">
        <v>24</v>
      </c>
      <c r="D6" s="227">
        <v>0.61990000000000001</v>
      </c>
      <c r="E6" s="227">
        <v>0.15</v>
      </c>
      <c r="F6" s="227">
        <v>0</v>
      </c>
      <c r="G6" s="226" t="str">
        <f t="shared" si="3"/>
        <v>max. 434782,61 грн.</v>
      </c>
      <c r="H6" s="226">
        <f t="shared" si="4"/>
        <v>500000.00150000001</v>
      </c>
      <c r="I6" s="226"/>
      <c r="J6" s="226">
        <v>4</v>
      </c>
      <c r="K6" s="228">
        <f t="shared" si="5"/>
        <v>36822.206137961504</v>
      </c>
      <c r="L6" s="229">
        <v>0</v>
      </c>
      <c r="M6" s="230">
        <v>0</v>
      </c>
      <c r="N6" s="226">
        <v>5000</v>
      </c>
    </row>
    <row r="7" spans="1:14" x14ac:dyDescent="0.2">
      <c r="A7" s="226" t="s">
        <v>97</v>
      </c>
      <c r="B7" s="226">
        <v>434782.61</v>
      </c>
      <c r="C7" s="226">
        <v>12</v>
      </c>
      <c r="D7" s="227">
        <v>0.51990000000000003</v>
      </c>
      <c r="E7" s="227">
        <v>0.15</v>
      </c>
      <c r="F7" s="227">
        <v>0</v>
      </c>
      <c r="G7" s="226" t="str">
        <f t="shared" si="3"/>
        <v>max. 434782,61 грн.</v>
      </c>
      <c r="H7" s="226">
        <f t="shared" si="4"/>
        <v>500000.00150000001</v>
      </c>
      <c r="I7" s="226"/>
      <c r="J7" s="226">
        <v>6</v>
      </c>
      <c r="K7" s="228">
        <f t="shared" si="5"/>
        <v>54308.964400644654</v>
      </c>
      <c r="L7" s="229">
        <v>0</v>
      </c>
      <c r="M7" s="230">
        <v>0</v>
      </c>
      <c r="N7" s="226">
        <v>5000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5"/>
  <sheetViews>
    <sheetView zoomScale="70" zoomScaleNormal="70" workbookViewId="0">
      <selection activeCell="A21" sqref="A2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307" t="s">
        <v>21</v>
      </c>
      <c r="B1" s="308"/>
      <c r="C1" s="308"/>
      <c r="D1" s="309"/>
      <c r="E1" s="80">
        <v>5000</v>
      </c>
      <c r="F1" s="81" t="s">
        <v>16</v>
      </c>
      <c r="G1" s="81" t="s">
        <v>15</v>
      </c>
    </row>
    <row r="2" spans="1:8" x14ac:dyDescent="0.2">
      <c r="A2" s="82"/>
      <c r="B2" s="4"/>
      <c r="C2" s="82"/>
      <c r="D2" s="4"/>
      <c r="E2" s="83"/>
      <c r="F2" s="84"/>
      <c r="G2" s="49"/>
      <c r="H2" s="4"/>
    </row>
    <row r="3" spans="1:8" x14ac:dyDescent="0.2">
      <c r="A3" s="302" t="s">
        <v>91</v>
      </c>
      <c r="B3" s="303"/>
      <c r="C3" s="303"/>
      <c r="D3" s="304"/>
      <c r="E3" s="7"/>
      <c r="F3" s="8"/>
      <c r="G3" s="7"/>
    </row>
    <row r="4" spans="1:8" x14ac:dyDescent="0.2">
      <c r="A4" s="58"/>
      <c r="B4" s="58"/>
      <c r="C4" s="58"/>
      <c r="D4" s="58"/>
      <c r="E4" s="86"/>
      <c r="F4" s="190"/>
      <c r="G4" s="86"/>
    </row>
    <row r="5" spans="1:8" x14ac:dyDescent="0.2">
      <c r="A5" s="302" t="s">
        <v>92</v>
      </c>
      <c r="B5" s="303"/>
      <c r="C5" s="303"/>
      <c r="D5" s="304"/>
      <c r="E5" s="7"/>
      <c r="F5" s="8"/>
      <c r="G5" s="7"/>
    </row>
    <row r="6" spans="1:8" x14ac:dyDescent="0.2">
      <c r="A6" s="82"/>
      <c r="B6" s="4"/>
      <c r="C6" s="82"/>
      <c r="D6" s="4"/>
      <c r="E6" s="86"/>
      <c r="F6" s="84"/>
      <c r="G6" s="49"/>
      <c r="H6" s="4"/>
    </row>
    <row r="7" spans="1:8" x14ac:dyDescent="0.2">
      <c r="A7" s="302" t="s">
        <v>71</v>
      </c>
      <c r="B7" s="303"/>
      <c r="C7" s="303"/>
      <c r="D7" s="304"/>
      <c r="E7" s="7"/>
      <c r="F7" s="8"/>
      <c r="G7" s="8"/>
    </row>
    <row r="8" spans="1:8" x14ac:dyDescent="0.2">
      <c r="A8" s="82"/>
      <c r="B8" s="4"/>
      <c r="C8" s="82"/>
      <c r="D8" s="4"/>
      <c r="E8" s="87"/>
      <c r="F8" s="84"/>
      <c r="G8" s="49"/>
      <c r="H8" s="4"/>
    </row>
    <row r="9" spans="1:8" x14ac:dyDescent="0.2">
      <c r="A9" s="302" t="s">
        <v>72</v>
      </c>
      <c r="B9" s="303"/>
      <c r="C9" s="303"/>
      <c r="D9" s="304"/>
      <c r="E9" s="7"/>
      <c r="F9" s="8"/>
      <c r="G9" s="8"/>
    </row>
    <row r="10" spans="1:8" x14ac:dyDescent="0.2">
      <c r="A10" s="82"/>
      <c r="B10" s="4"/>
      <c r="C10" s="82"/>
      <c r="D10" s="4"/>
      <c r="E10" s="86"/>
      <c r="F10" s="84"/>
      <c r="G10" s="49"/>
      <c r="H10" s="4"/>
    </row>
    <row r="11" spans="1:8" x14ac:dyDescent="0.2">
      <c r="A11" s="302" t="s">
        <v>85</v>
      </c>
      <c r="B11" s="303"/>
      <c r="C11" s="303"/>
      <c r="D11" s="304"/>
      <c r="E11" s="88"/>
      <c r="F11" s="8"/>
      <c r="G11" s="8"/>
    </row>
    <row r="12" spans="1:8" x14ac:dyDescent="0.2">
      <c r="A12" s="89"/>
      <c r="B12" s="12"/>
      <c r="C12" s="89"/>
      <c r="D12" s="90"/>
      <c r="E12" s="55"/>
      <c r="F12" s="84"/>
      <c r="G12" s="91"/>
      <c r="H12" s="12"/>
    </row>
    <row r="13" spans="1:8" x14ac:dyDescent="0.2">
      <c r="A13" s="89"/>
      <c r="B13" s="12"/>
      <c r="C13" s="89"/>
      <c r="D13" s="92"/>
      <c r="E13" s="55"/>
      <c r="F13" s="84"/>
      <c r="G13" s="91"/>
      <c r="H13" s="12"/>
    </row>
    <row r="14" spans="1:8" x14ac:dyDescent="0.2">
      <c r="A14" s="302" t="s">
        <v>84</v>
      </c>
      <c r="B14" s="303"/>
      <c r="C14" s="303"/>
      <c r="D14" s="304"/>
      <c r="E14" s="13"/>
      <c r="F14" s="13"/>
      <c r="G14" s="14"/>
      <c r="H14" s="12"/>
    </row>
    <row r="15" spans="1:8" x14ac:dyDescent="0.2">
      <c r="A15" s="58"/>
      <c r="B15" s="58"/>
      <c r="C15" s="58"/>
      <c r="D15" s="58"/>
      <c r="E15" s="93"/>
      <c r="F15" s="94"/>
      <c r="G15" s="95"/>
      <c r="H15" s="12"/>
    </row>
    <row r="16" spans="1:8" x14ac:dyDescent="0.2">
      <c r="A16" s="302" t="s">
        <v>78</v>
      </c>
      <c r="B16" s="303"/>
      <c r="C16" s="303"/>
      <c r="D16" s="304"/>
      <c r="E16" s="78"/>
      <c r="F16" s="79"/>
      <c r="G16" s="14"/>
      <c r="H16" s="12"/>
    </row>
    <row r="17" spans="1:8" x14ac:dyDescent="0.2">
      <c r="A17" s="85"/>
      <c r="B17" s="85"/>
      <c r="C17" s="85"/>
      <c r="D17" s="85"/>
      <c r="E17" s="96"/>
      <c r="F17" s="94"/>
      <c r="G17" s="95"/>
      <c r="H17" s="12"/>
    </row>
    <row r="18" spans="1:8" x14ac:dyDescent="0.2">
      <c r="A18" s="302" t="s">
        <v>83</v>
      </c>
      <c r="B18" s="303"/>
      <c r="C18" s="303"/>
      <c r="D18" s="304"/>
      <c r="E18" s="21"/>
      <c r="F18" s="8"/>
      <c r="G18" s="8"/>
      <c r="H18" s="12"/>
    </row>
    <row r="19" spans="1:8" x14ac:dyDescent="0.2">
      <c r="A19" s="58"/>
      <c r="B19" s="58"/>
      <c r="C19" s="58"/>
      <c r="D19" s="58"/>
      <c r="E19" s="189"/>
      <c r="F19" s="190"/>
      <c r="G19" s="190"/>
      <c r="H19" s="12"/>
    </row>
    <row r="20" spans="1:8" x14ac:dyDescent="0.2">
      <c r="A20" s="58" t="s">
        <v>94</v>
      </c>
      <c r="B20" s="58"/>
      <c r="C20" s="58"/>
      <c r="D20" s="58"/>
      <c r="E20" s="189"/>
      <c r="F20" s="190"/>
      <c r="G20" s="190"/>
      <c r="H20" s="12"/>
    </row>
    <row r="21" spans="1:8" x14ac:dyDescent="0.2">
      <c r="A21" s="58"/>
      <c r="B21" s="58"/>
      <c r="C21" s="58"/>
      <c r="D21" s="58"/>
      <c r="E21" s="86"/>
      <c r="F21" s="94"/>
      <c r="G21" s="95"/>
      <c r="H21" s="12"/>
    </row>
    <row r="22" spans="1:8" ht="33.75" x14ac:dyDescent="0.2">
      <c r="A22" s="305" t="s">
        <v>7</v>
      </c>
      <c r="B22" s="306"/>
      <c r="C22" s="97" t="s">
        <v>2</v>
      </c>
      <c r="D22" s="98" t="s">
        <v>34</v>
      </c>
      <c r="E22" s="99" t="s">
        <v>18</v>
      </c>
      <c r="F22" s="99" t="s">
        <v>17</v>
      </c>
      <c r="G22" s="99" t="s">
        <v>19</v>
      </c>
      <c r="H22" s="99" t="s">
        <v>33</v>
      </c>
    </row>
    <row r="23" spans="1:8" x14ac:dyDescent="0.2">
      <c r="A23" s="256" t="s">
        <v>24</v>
      </c>
      <c r="B23" s="257"/>
      <c r="C23" s="45">
        <f>IF(ISERROR(L18),"",L18)</f>
        <v>0</v>
      </c>
      <c r="D23" s="45">
        <f>IF(ISERROR(L14),"",L14)</f>
        <v>0</v>
      </c>
      <c r="E23" s="75">
        <f>IF(ISERROR(L16),"",L16)</f>
        <v>0</v>
      </c>
      <c r="F23" s="23" t="str">
        <f>IF(ISERROR(D23/#REF!),"",D23/#REF!)</f>
        <v/>
      </c>
      <c r="G23" s="24" t="str">
        <f>IF(ISERROR(D23/#REF!/F$3),"",D23/#REF!/F$3)</f>
        <v/>
      </c>
      <c r="H23" s="24" t="str">
        <f>IF(ISERROR(C23/F$3),"",C23/F$3)</f>
        <v/>
      </c>
    </row>
    <row r="24" spans="1:8" x14ac:dyDescent="0.2">
      <c r="A24" s="256" t="s">
        <v>8</v>
      </c>
      <c r="B24" s="257"/>
      <c r="C24" s="46">
        <f>IF(ISERROR(M18),"",M18)</f>
        <v>0</v>
      </c>
      <c r="D24" s="46">
        <f>IF(ISERROR(M14),"",M14)</f>
        <v>0</v>
      </c>
      <c r="E24" s="76">
        <f>IF(ISERROR(M16),"",M16)</f>
        <v>0</v>
      </c>
      <c r="F24" s="23" t="str">
        <f>IF(ISERROR(D24/#REF!),"",D24/#REF!)</f>
        <v/>
      </c>
      <c r="G24" s="24" t="str">
        <f>IF(ISERROR(D24/#REF!/F$3),"",D24/#REF!/F$3)</f>
        <v/>
      </c>
      <c r="H24" s="24" t="str">
        <f>IF(ISERROR(C24/F$3),"",C24/F$3)</f>
        <v/>
      </c>
    </row>
    <row r="25" spans="1:8" x14ac:dyDescent="0.2">
      <c r="A25" s="256" t="s">
        <v>22</v>
      </c>
      <c r="B25" s="257"/>
      <c r="C25" s="46">
        <f>IF(ISERROR(N18),"",N18)</f>
        <v>0</v>
      </c>
      <c r="D25" s="46">
        <f>IF(ISERROR(N14),"",N14)</f>
        <v>0</v>
      </c>
      <c r="E25" s="76">
        <f>IF(ISERROR(N16),"",N16)</f>
        <v>0</v>
      </c>
      <c r="F25" s="23" t="str">
        <f>IF(ISERROR(D25/#REF!),"",D25/#REF!)</f>
        <v/>
      </c>
      <c r="G25" s="24" t="str">
        <f>IF(ISERROR(D25/#REF!/F$3),"",D25/#REF!/F$3)</f>
        <v/>
      </c>
      <c r="H25" s="24" t="str">
        <f>IF(ISERROR(C25/F$3),"",C25/F$3)</f>
        <v/>
      </c>
    </row>
    <row r="26" spans="1:8" x14ac:dyDescent="0.2">
      <c r="A26" s="256" t="s">
        <v>23</v>
      </c>
      <c r="B26" s="257"/>
      <c r="C26" s="46">
        <f>IF(ISERROR(O18),"",O18)</f>
        <v>0</v>
      </c>
      <c r="D26" s="46">
        <f>IF(ISERROR(O14),"",O14)</f>
        <v>0</v>
      </c>
      <c r="E26" s="76">
        <f>IF(ISERROR(O16),"",O16)</f>
        <v>0</v>
      </c>
      <c r="F26" s="23" t="str">
        <f>IF(ISERROR(D26/#REF!),"",D26/#REF!)</f>
        <v/>
      </c>
      <c r="G26" s="24" t="str">
        <f>IF(ISERROR(D26/#REF!/F$3),"",D26/#REF!/F$3)</f>
        <v/>
      </c>
      <c r="H26" s="24" t="str">
        <f>IF(ISERROR(C26/F$3),"",C26/F$3)</f>
        <v/>
      </c>
    </row>
    <row r="27" spans="1:8" x14ac:dyDescent="0.2">
      <c r="A27" s="82"/>
      <c r="B27" s="58"/>
      <c r="C27" s="82"/>
      <c r="D27" s="100"/>
      <c r="E27" s="4"/>
      <c r="F27" s="49"/>
      <c r="G27" s="84"/>
      <c r="H27" s="4"/>
    </row>
    <row r="28" spans="1:8" ht="13.5" thickBot="1" x14ac:dyDescent="0.25">
      <c r="A28" s="101"/>
      <c r="B28" s="58"/>
      <c r="C28" s="101"/>
      <c r="D28" s="102"/>
      <c r="E28" s="103"/>
      <c r="F28" s="95"/>
      <c r="G28" s="94"/>
      <c r="H28" s="12"/>
    </row>
    <row r="29" spans="1:8" ht="18.75" thickBot="1" x14ac:dyDescent="0.25">
      <c r="A29" s="315" t="s">
        <v>77</v>
      </c>
      <c r="B29" s="316"/>
      <c r="C29" s="316"/>
      <c r="D29" s="316"/>
      <c r="E29" s="316"/>
      <c r="F29" s="316"/>
      <c r="G29" s="220"/>
    </row>
    <row r="30" spans="1:8" ht="45.75" thickBot="1" x14ac:dyDescent="0.25">
      <c r="A30" s="311" t="s">
        <v>4</v>
      </c>
      <c r="B30" s="312"/>
      <c r="C30" s="104" t="s">
        <v>75</v>
      </c>
      <c r="D30" s="104" t="s">
        <v>73</v>
      </c>
      <c r="E30" s="104" t="s">
        <v>74</v>
      </c>
      <c r="F30" s="313" t="s">
        <v>76</v>
      </c>
      <c r="G30" s="314"/>
    </row>
    <row r="31" spans="1:8" x14ac:dyDescent="0.2">
      <c r="A31" s="4"/>
      <c r="B31" s="4"/>
      <c r="C31" s="4"/>
      <c r="D31" s="4"/>
      <c r="E31" s="4"/>
      <c r="F31" s="49"/>
      <c r="G31" s="84"/>
    </row>
    <row r="32" spans="1:8" x14ac:dyDescent="0.2">
      <c r="A32" s="4" t="s">
        <v>5</v>
      </c>
      <c r="B32" s="105"/>
      <c r="C32" s="106"/>
      <c r="D32" s="310"/>
      <c r="E32" s="310"/>
      <c r="F32" s="310"/>
      <c r="G32" s="84"/>
    </row>
    <row r="33" spans="1:7" x14ac:dyDescent="0.2">
      <c r="A33" s="4" t="s">
        <v>6</v>
      </c>
      <c r="B33" s="107"/>
      <c r="C33" s="4"/>
      <c r="D33" s="40"/>
      <c r="E33" s="41"/>
      <c r="F33" s="108"/>
      <c r="G33" s="84"/>
    </row>
    <row r="35" spans="1:7" x14ac:dyDescent="0.2">
      <c r="A35" t="s">
        <v>35</v>
      </c>
      <c r="B35">
        <v>30.4</v>
      </c>
    </row>
  </sheetData>
  <sheetProtection selectLockedCells="1"/>
  <mergeCells count="18">
    <mergeCell ref="A23:B23"/>
    <mergeCell ref="A24:B24"/>
    <mergeCell ref="D32:F32"/>
    <mergeCell ref="A26:B26"/>
    <mergeCell ref="A30:B30"/>
    <mergeCell ref="F30:G30"/>
    <mergeCell ref="A25:B25"/>
    <mergeCell ref="A29:F29"/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"/>
  <sheetViews>
    <sheetView zoomScale="85" zoomScaleNormal="85" workbookViewId="0">
      <selection activeCell="G12" sqref="G12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6.85546875" style="141" customWidth="1"/>
    <col min="8" max="8" width="15.7109375" style="14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9" t="s">
        <v>93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1" t="s">
        <v>86</v>
      </c>
      <c r="B4" s="221">
        <v>50000</v>
      </c>
      <c r="C4" s="221">
        <v>36</v>
      </c>
      <c r="D4" s="222">
        <v>0.66990000000000005</v>
      </c>
      <c r="E4" s="222">
        <v>0.15</v>
      </c>
      <c r="F4" s="222">
        <v>0</v>
      </c>
      <c r="G4" s="221" t="s">
        <v>87</v>
      </c>
      <c r="H4" s="221">
        <v>57500</v>
      </c>
      <c r="I4" s="221"/>
      <c r="J4" s="221">
        <v>1</v>
      </c>
      <c r="K4" s="223">
        <v>3738.9128907694981</v>
      </c>
      <c r="L4" s="224">
        <v>0</v>
      </c>
      <c r="M4" s="225">
        <v>0</v>
      </c>
      <c r="N4" s="221">
        <v>1000</v>
      </c>
    </row>
    <row r="5" spans="1:15" x14ac:dyDescent="0.2">
      <c r="A5" s="221" t="s">
        <v>88</v>
      </c>
      <c r="B5" s="221">
        <v>50000</v>
      </c>
      <c r="C5" s="221">
        <v>24</v>
      </c>
      <c r="D5" s="222">
        <v>0.61990000000000001</v>
      </c>
      <c r="E5" s="222">
        <v>0.15</v>
      </c>
      <c r="F5" s="222">
        <v>0</v>
      </c>
      <c r="G5" s="221" t="s">
        <v>87</v>
      </c>
      <c r="H5" s="221">
        <v>57500</v>
      </c>
      <c r="I5" s="221"/>
      <c r="J5" s="221">
        <v>1</v>
      </c>
      <c r="K5" s="223">
        <v>4234.5536931619117</v>
      </c>
      <c r="L5" s="224">
        <v>0</v>
      </c>
      <c r="M5" s="225">
        <v>0</v>
      </c>
      <c r="N5" s="221">
        <v>1000</v>
      </c>
    </row>
    <row r="6" spans="1:15" x14ac:dyDescent="0.2">
      <c r="A6" s="221" t="s">
        <v>89</v>
      </c>
      <c r="B6" s="221">
        <v>50000</v>
      </c>
      <c r="C6" s="221">
        <v>18</v>
      </c>
      <c r="D6" s="222">
        <v>0.57989999999999997</v>
      </c>
      <c r="E6" s="222">
        <v>0.15</v>
      </c>
      <c r="F6" s="222">
        <v>0</v>
      </c>
      <c r="G6" s="221" t="s">
        <v>87</v>
      </c>
      <c r="H6" s="221">
        <v>57500</v>
      </c>
      <c r="I6" s="221"/>
      <c r="J6" s="221">
        <v>1</v>
      </c>
      <c r="K6" s="223">
        <v>4854.7456270945513</v>
      </c>
      <c r="L6" s="224">
        <v>0</v>
      </c>
      <c r="M6" s="225">
        <v>0</v>
      </c>
      <c r="N6" s="221">
        <v>1000</v>
      </c>
    </row>
    <row r="7" spans="1:15" x14ac:dyDescent="0.2">
      <c r="A7" s="221" t="s">
        <v>90</v>
      </c>
      <c r="B7" s="221">
        <v>50000</v>
      </c>
      <c r="C7" s="221">
        <v>12</v>
      </c>
      <c r="D7" s="222">
        <v>0.49990000000000001</v>
      </c>
      <c r="E7" s="222">
        <v>0.15</v>
      </c>
      <c r="F7" s="222">
        <v>0</v>
      </c>
      <c r="G7" s="221" t="s">
        <v>87</v>
      </c>
      <c r="H7" s="221">
        <v>57500</v>
      </c>
      <c r="I7" s="221"/>
      <c r="J7" s="221">
        <v>1</v>
      </c>
      <c r="K7" s="223">
        <v>6185.8466183236624</v>
      </c>
      <c r="L7" s="224">
        <v>0</v>
      </c>
      <c r="M7" s="225">
        <v>0</v>
      </c>
      <c r="N7" s="221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8</vt:i4>
      </vt:variant>
    </vt:vector>
  </HeadingPairs>
  <TitlesOfParts>
    <vt:vector size="19" baseType="lpstr">
      <vt:lpstr>Головна</vt:lpstr>
      <vt:lpstr>Простий</vt:lpstr>
      <vt:lpstr>BIG CASH</vt:lpstr>
      <vt:lpstr>Пенсійний</vt:lpstr>
      <vt:lpstr>Від 1 000 до 29 999</vt:lpstr>
      <vt:lpstr>Вигідний_зі знижкою-10%</vt:lpstr>
      <vt:lpstr>Мобільний СК</vt:lpstr>
      <vt:lpstr>Від 200 000 до 500 000</vt:lpstr>
      <vt:lpstr>Лист2</vt:lpstr>
      <vt:lpstr>Назви</vt:lpstr>
      <vt:lpstr>Лист3</vt:lpstr>
      <vt:lpstr>'BIG CASH'!Область_друку</vt:lpstr>
      <vt:lpstr>'Вигідний_зі знижкою-10%'!Область_друку</vt:lpstr>
      <vt:lpstr>'Від 1 000 до 29 999'!Область_друку</vt:lpstr>
      <vt:lpstr>'Від 200 000 до 500 000'!Область_друку</vt:lpstr>
      <vt:lpstr>Головна!Область_друку</vt:lpstr>
      <vt:lpstr>'Мобільний СК'!Область_друку</vt:lpstr>
      <vt:lpstr>Пенсійний!Область_друку</vt:lpstr>
      <vt:lpstr>Простий!Область_друку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2025-09-12T08:18:46Z</dcterms:modified>
</cp:coreProperties>
</file>