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обільний+\"/>
    </mc:Choice>
  </mc:AlternateContent>
  <xr:revisionPtr revIDLastSave="0" documentId="13_ncr:1_{74A50BCD-8E73-4CD0-A0B0-3DB15B6A5F76}" xr6:coauthVersionLast="47" xr6:coauthVersionMax="47" xr10:uidLastSave="{00000000-0000-0000-0000-000000000000}"/>
  <workbookProtection workbookAlgorithmName="SHA-512" workbookHashValue="BZKWlECmFxKCbUiNSTiLUNrfjCw03zZAIdJz6FP/6xMvYE9YcYU7Fq/+jQ8/y4OnN97GikNUTqVCiQnR/G0/8g==" workbookSaltValue="viI9gVBrNZe1z1E+BCAmFA==" workbookSpinCount="100000" lockStructure="1"/>
  <bookViews>
    <workbookView xWindow="-120" yWindow="-120" windowWidth="29040" windowHeight="15990" tabRatio="831" xr2:uid="{00000000-000D-0000-FFFF-FFFF00000000}"/>
  </bookViews>
  <sheets>
    <sheet name="Мобільний_для лідогенераторів" sheetId="189" r:id="rId1"/>
    <sheet name="Лист2" sheetId="165" state="hidden" r:id="rId2"/>
    <sheet name="Назви" sheetId="161" state="hidden" r:id="rId3"/>
  </sheets>
  <definedNames>
    <definedName name="_xlnm._FilterDatabase" localSheetId="0" hidden="1">'Мобільний_для лідогенераторів'!$A$27:$H$89</definedName>
    <definedName name="_xlnm.Print_Area" localSheetId="0">'Мобільний_для лідогенераторів'!$A$1:$K$92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3" i="189"/>
  <c r="K4" i="165"/>
  <c r="H4" i="165"/>
  <c r="G4" i="165"/>
  <c r="K16" i="189"/>
  <c r="K14" i="189" l="1"/>
  <c r="H5" i="165"/>
  <c r="K5" i="165" s="1"/>
  <c r="G5" i="165"/>
  <c r="G7" i="165" l="1"/>
  <c r="H7" i="165"/>
  <c r="K7" i="165" s="1"/>
  <c r="K15" i="189" l="1"/>
  <c r="G27" i="189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G6" i="165" l="1"/>
  <c r="H6" i="165"/>
  <c r="K6" i="165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F23" i="161" s="1"/>
  <c r="E23" i="161"/>
  <c r="C24" i="161"/>
  <c r="H24" i="161" s="1"/>
  <c r="D24" i="161"/>
  <c r="G24" i="161" s="1"/>
  <c r="E24" i="161"/>
  <c r="F24" i="161"/>
  <c r="G23" i="161" l="1"/>
  <c r="G22" i="161"/>
  <c r="G21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<sst xmlns="http://schemas.openxmlformats.org/spreadsheetml/2006/main" count="55" uniqueCount="50">
  <si>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</si>
  <si>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</si>
  <si>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</si>
  <si>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</si>
  <si>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</si>
  <si>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</si>
  <si>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</si>
  <si>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</si>
  <si>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</si>
  <si>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</si>
  <si>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</si>
  <si>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</si>
  <si>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</si>
  <si>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</si>
  <si>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</si>
  <si>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</si>
  <si>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</si>
  <si>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</si>
  <si>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</si>
  <si>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</si>
  <si>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</si>
  <si>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</si>
  <si>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</si>
  <si>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</si>
  <si>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</si>
  <si>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</si>
  <si>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</si>
  <si>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</si>
  <si>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</si>
  <si>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</si>
  <si>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</si>
  <si>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</si>
  <si>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</si>
  <si>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</si>
  <si>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</si>
  <si>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</si>
  <si>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</si>
  <si>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</si>
  <si>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</si>
  <si>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</si>
  <si>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</si>
  <si>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</si>
  <si>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</si>
  <si>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</si>
  <si>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</si>
  <si>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</si>
  <si>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Мобільний_для лідогенераторів_24 міс.</t>
  </si>
  <si>
    <t>Мобільний_для лідогенераторів_12 міс.</t>
  </si>
  <si>
    <t>Мобільний_для лідогенераторів_36 міс.</t>
  </si>
  <si>
    <t>Мобільний_для лідогенераторів_60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</si>
</sst>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" xfId="23" applyNumberFormat="1" applyFont="1" applyBorder="1" applyAlignment="1">
      <alignment horizontal="center"/>
    </xf>
    <xf numFmtId="4" fontId="16" fillId="0" borderId="14" xfId="23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0" fontId="16" fillId="0" borderId="0" xfId="23" applyNumberFormat="1" applyFont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3</xdr:col>
      <xdr:colOff>285750</xdr:colOff>
      <xdr:row>3</xdr:row>
      <xdr:rowOff>76200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" y="38100"/>
          <a:ext cx="19335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00B05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21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65" t="s">
        <v>40</v>
      </c>
      <c r="I1" s="165"/>
    </row>
    <row r="2" spans="1:29" ht="12.75" customHeight="1" x14ac:dyDescent="0.2">
      <c r="A2" s="2"/>
      <c r="B2" s="50"/>
      <c r="C2" s="50"/>
      <c r="D2" s="50"/>
      <c r="E2" s="108">
        <f>VLOOKUP('Мобільний_для лідогенераторів'!H2,Лист2!A:N,14,FALSE)</f>
        <v>5000</v>
      </c>
      <c r="F2" s="100">
        <f>VLOOKUP(H$2,Лист2!$A:$G,2,0)</f>
        <v>500000</v>
      </c>
      <c r="G2" s="116">
        <f ca="1">TODAY()</f>
        <v>45912</v>
      </c>
      <c r="H2" s="166" t="s">
        <v>46</v>
      </c>
      <c r="I2" s="167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100000</v>
      </c>
      <c r="F3" s="168" t="str">
        <f>IF(E3="x","Збільшіть суму",IF(E3="y","Зменшіть суму",""))</f>
        <v/>
      </c>
      <c r="G3" s="57">
        <f>Назви!B33</f>
        <v>30.4</v>
      </c>
      <c r="H3" s="169" t="str">
        <f>VLOOKUP(H$2,Лист2!$A:$G,7,0)</f>
        <v>max. 500000 грн.</v>
      </c>
      <c r="I3" s="170"/>
      <c r="J3" s="42"/>
    </row>
    <row r="4" spans="1:29" ht="9" customHeight="1" thickBot="1" x14ac:dyDescent="0.25">
      <c r="A4" s="2"/>
      <c r="B4" s="2"/>
      <c r="C4" s="2"/>
      <c r="D4" s="2"/>
      <c r="E4" s="108"/>
      <c r="F4" s="168"/>
      <c r="G4" s="35"/>
      <c r="H4" s="124"/>
      <c r="I4" s="42"/>
      <c r="J4" s="42"/>
      <c r="K4" s="54"/>
    </row>
    <row r="5" spans="1:29" ht="21" customHeight="1" thickBot="1" x14ac:dyDescent="0.25">
      <c r="A5" s="1"/>
      <c r="B5" s="171" t="s">
        <v>45</v>
      </c>
      <c r="C5" s="172"/>
      <c r="D5" s="172"/>
      <c r="E5" s="173"/>
      <c r="F5" s="134">
        <v>100000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hidden="1" customHeight="1" x14ac:dyDescent="0.2">
      <c r="A7" s="1"/>
      <c r="B7" s="159" t="s">
        <v>41</v>
      </c>
      <c r="C7" s="160"/>
      <c r="D7" s="160"/>
      <c r="E7" s="161"/>
      <c r="F7" s="13">
        <f>D89</f>
        <v>99999.999999999985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59" t="str">
        <f>Назви!A3</f>
        <v>Процентна ставка, % річних</v>
      </c>
      <c r="C9" s="160">
        <f>Назви!B3</f>
        <v>0</v>
      </c>
      <c r="D9" s="160">
        <f>Назви!C3</f>
        <v>0</v>
      </c>
      <c r="E9" s="161">
        <f>Назви!D3</f>
        <v>0</v>
      </c>
      <c r="F9" s="32">
        <f>VLOOKUP(H$2,Лист2!$A:$G,4,0)</f>
        <v>0.9</v>
      </c>
      <c r="G9" s="151"/>
      <c r="H9" s="151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59" t="str">
        <f>Назви!A5</f>
        <v>Разовий страховий тариф, %</v>
      </c>
      <c r="C11" s="160">
        <f>Назви!B5</f>
        <v>0</v>
      </c>
      <c r="D11" s="160">
        <f>Назви!C5</f>
        <v>0</v>
      </c>
      <c r="E11" s="161">
        <f>Назви!D5</f>
        <v>0</v>
      </c>
      <c r="F11" s="32">
        <f>VLOOKUP(H$2,Лист2!$A:$G,5,0)</f>
        <v>0</v>
      </c>
      <c r="G11" s="151"/>
      <c r="H11" s="151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29" x14ac:dyDescent="0.2">
      <c r="A13" s="1"/>
      <c r="B13" s="159" t="str">
        <f>Назви!A7</f>
        <v xml:space="preserve">Щомісячна плата за обслуговування кредитної заборгованості, % </v>
      </c>
      <c r="C13" s="160">
        <f>Назви!B7</f>
        <v>0</v>
      </c>
      <c r="D13" s="160">
        <f>Назви!C7</f>
        <v>0</v>
      </c>
      <c r="E13" s="161">
        <f>Назви!D7</f>
        <v>0</v>
      </c>
      <c r="F13" s="32">
        <f>VLOOKUP(H$2,Лист2!$A:$G,6,0)</f>
        <v>0</v>
      </c>
      <c r="G13" s="151"/>
      <c r="H13" s="151"/>
      <c r="I13" s="3"/>
      <c r="J13" s="43"/>
      <c r="K13" s="113" t="str">
        <f>Лист2!A4</f>
        <v>Мобільний_для лідогенераторів_60 міс.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Лист2!A5</f>
        <v>Мобільний_для лідогенераторів_36 міс.</v>
      </c>
    </row>
    <row r="15" spans="1:29" x14ac:dyDescent="0.2">
      <c r="A15" s="1"/>
      <c r="B15" s="159" t="str">
        <f>Назви!A9</f>
        <v>Термін кредитування (міс.)</v>
      </c>
      <c r="C15" s="160">
        <f>Назви!B9</f>
        <v>0</v>
      </c>
      <c r="D15" s="160">
        <f>Назви!C9</f>
        <v>0</v>
      </c>
      <c r="E15" s="161">
        <f>Назви!D9</f>
        <v>0</v>
      </c>
      <c r="F15" s="53">
        <f>VLOOKUP(H$2,Лист2!$A:$G,3,0)</f>
        <v>24</v>
      </c>
      <c r="G15" s="151"/>
      <c r="H15" s="151"/>
      <c r="I15" s="3"/>
      <c r="J15" s="43"/>
      <c r="K15" s="113" t="str">
        <f>Лист2!A6</f>
        <v>Мобільний_для лідогенераторів_24 міс.</v>
      </c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 t="str">
        <f>Лист2!A7</f>
        <v>Мобільний_для лідогенераторів_12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100000</v>
      </c>
      <c r="F17" s="50"/>
      <c r="G17" s="96"/>
      <c r="H17" s="11"/>
      <c r="I17" s="1"/>
      <c r="J17" s="99"/>
      <c r="K17" s="113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48" t="str">
        <f>Назви!A12</f>
        <v>Орієнтовний платіж, грн.</v>
      </c>
      <c r="C18" s="149">
        <f>Назви!B12</f>
        <v>0</v>
      </c>
      <c r="D18" s="149">
        <f>Назви!C12</f>
        <v>0</v>
      </c>
      <c r="E18" s="150">
        <f>Назви!D12</f>
        <v>0</v>
      </c>
      <c r="F18" s="13">
        <f>PMT(F9/12,F15,-E17)+F13*E17</f>
        <v>9105.0079472215548</v>
      </c>
      <c r="G18" s="162"/>
      <c r="H18" s="163"/>
      <c r="I18" s="105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48" t="str">
        <f>Назви!A14</f>
        <v>Орієнтовні загальні витрати за кредитом, грн.</v>
      </c>
      <c r="C20" s="149">
        <f>Назви!B14</f>
        <v>0</v>
      </c>
      <c r="D20" s="149">
        <f>Назви!C14</f>
        <v>0</v>
      </c>
      <c r="E20" s="150">
        <f>Назви!D14</f>
        <v>0</v>
      </c>
      <c r="F20" s="13">
        <f>G89-E3</f>
        <v>118520.19073331726</v>
      </c>
      <c r="G20" s="164"/>
      <c r="H20" s="164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48" t="str">
        <f>Назви!A16</f>
        <v>Орієнтовна загальна вартість кредиту, грн.</v>
      </c>
      <c r="C22" s="149">
        <f>Назви!B16</f>
        <v>0</v>
      </c>
      <c r="D22" s="149">
        <f>Назви!C16</f>
        <v>0</v>
      </c>
      <c r="E22" s="150">
        <f>Назви!D16</f>
        <v>0</v>
      </c>
      <c r="F22" s="13">
        <f>E3+F20</f>
        <v>218520.19073331726</v>
      </c>
      <c r="G22" s="151"/>
      <c r="H22" s="151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48" t="str">
        <f>Назви!A18</f>
        <v>Орієнтовна реальна річна процентна ставка, %</v>
      </c>
      <c r="C24" s="149"/>
      <c r="D24" s="149"/>
      <c r="E24" s="150"/>
      <c r="F24" s="32">
        <f ca="1">XIRR(G28:G88,C28:C88)</f>
        <v>1.3847023129463196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2" t="str">
        <f>Назви!A27</f>
        <v>Орієнтовний порядок повернення кредиту</v>
      </c>
      <c r="C26" s="153"/>
      <c r="D26" s="153"/>
      <c r="E26" s="153"/>
      <c r="F26" s="153"/>
      <c r="G26" s="153"/>
      <c r="H26" s="154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55" t="str">
        <f>Назви!F28</f>
        <v>Сума платежу за розрахунковий період, грн.</v>
      </c>
      <c r="H27" s="156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45912</v>
      </c>
      <c r="D28" s="92"/>
      <c r="E28" s="93"/>
      <c r="F28" s="92"/>
      <c r="G28" s="157">
        <f>-1*E3</f>
        <v>-100000</v>
      </c>
      <c r="H28" s="158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45942</v>
      </c>
      <c r="D29" s="129">
        <f>IFERROR(PPMT($F$9/12,B29,$F$15,-$E$3),0)</f>
        <v>1605.0079472215555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7500</v>
      </c>
      <c r="G29" s="146">
        <f>SUM(D29:F29)</f>
        <v>9105.0079472215548</v>
      </c>
      <c r="H29" s="146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45973</v>
      </c>
      <c r="D30" s="129">
        <f t="shared" ref="D30:D88" si="1">IFERROR(PPMT($F$9/12,B30,$F$15,-$E$3),0)</f>
        <v>1725.3835432631718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7379.6244039583826</v>
      </c>
      <c r="G30" s="146">
        <f t="shared" ref="G30:G88" si="3">SUM(D30:F30)</f>
        <v>9105.0079472215548</v>
      </c>
      <c r="H30" s="146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46003</v>
      </c>
      <c r="D31" s="129">
        <f t="shared" si="1"/>
        <v>1854.7873090079097</v>
      </c>
      <c r="E31" s="140">
        <f>IF(B31&lt;=$F$15,(E$17*(VLOOKUP($H$2,Лист2!$A:$N,12,0)-(B31-1)*VLOOKUP($H$2,Лист2!$A:$N,13,0))),0)</f>
        <v>0</v>
      </c>
      <c r="F31" s="130">
        <f t="shared" si="2"/>
        <v>7250.2206382136455</v>
      </c>
      <c r="G31" s="146">
        <f t="shared" si="3"/>
        <v>9105.0079472215548</v>
      </c>
      <c r="H31" s="146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46034</v>
      </c>
      <c r="D32" s="129">
        <f t="shared" si="1"/>
        <v>1993.8963571835029</v>
      </c>
      <c r="E32" s="140">
        <f>IF(B32&lt;=$F$15,(E$17*(VLOOKUP($H$2,Лист2!$A:$N,12,0)-(B32-1)*VLOOKUP($H$2,Лист2!$A:$N,13,0))),0)</f>
        <v>0</v>
      </c>
      <c r="F32" s="130">
        <f t="shared" si="2"/>
        <v>7111.1115900380519</v>
      </c>
      <c r="G32" s="146">
        <f t="shared" si="3"/>
        <v>9105.0079472215548</v>
      </c>
      <c r="H32" s="146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46065</v>
      </c>
      <c r="D33" s="129">
        <f t="shared" si="1"/>
        <v>2143.4385839722659</v>
      </c>
      <c r="E33" s="140">
        <f>IF(B33&lt;=$F$15,(E$17*(VLOOKUP($H$2,Лист2!$A:$N,12,0)-(B33-1)*VLOOKUP($H$2,Лист2!$A:$N,13,0))),0)</f>
        <v>0</v>
      </c>
      <c r="F33" s="130">
        <f t="shared" si="2"/>
        <v>6961.5693632492885</v>
      </c>
      <c r="G33" s="146">
        <f t="shared" si="3"/>
        <v>9105.0079472215548</v>
      </c>
      <c r="H33" s="146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46093</v>
      </c>
      <c r="D34" s="129">
        <f t="shared" si="1"/>
        <v>2304.1964777701855</v>
      </c>
      <c r="E34" s="140">
        <f>IF(B34&lt;=$F$15,(E$17*(VLOOKUP($H$2,Лист2!$A:$N,12,0)-(B34-1)*VLOOKUP($H$2,Лист2!$A:$N,13,0))),0)</f>
        <v>0</v>
      </c>
      <c r="F34" s="130">
        <f t="shared" si="2"/>
        <v>6800.8114694513688</v>
      </c>
      <c r="G34" s="146">
        <f t="shared" si="3"/>
        <v>9105.0079472215548</v>
      </c>
      <c r="H34" s="146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46124</v>
      </c>
      <c r="D35" s="129">
        <f t="shared" si="1"/>
        <v>2477.0112136029497</v>
      </c>
      <c r="E35" s="140">
        <f>IF(B35&lt;=$F$15,(E$17*(VLOOKUP($H$2,Лист2!$A:$N,12,0)-(B35-1)*VLOOKUP($H$2,Лист2!$A:$N,13,0))),0)</f>
        <v>0</v>
      </c>
      <c r="F35" s="130">
        <f t="shared" si="2"/>
        <v>6627.9967336186055</v>
      </c>
      <c r="G35" s="146">
        <f t="shared" si="3"/>
        <v>9105.0079472215548</v>
      </c>
      <c r="H35" s="146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46154</v>
      </c>
      <c r="D36" s="129">
        <f t="shared" si="1"/>
        <v>2662.7870546231711</v>
      </c>
      <c r="E36" s="140">
        <f>IF(B36&lt;=$F$15,(E$17*(VLOOKUP($H$2,Лист2!$A:$N,12,0)-(B36-1)*VLOOKUP($H$2,Лист2!$A:$N,13,0))),0)</f>
        <v>0</v>
      </c>
      <c r="F36" s="130">
        <f t="shared" si="2"/>
        <v>6442.2208925983841</v>
      </c>
      <c r="G36" s="146">
        <f t="shared" si="3"/>
        <v>9105.0079472215548</v>
      </c>
      <c r="H36" s="146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46185</v>
      </c>
      <c r="D37" s="129">
        <f t="shared" si="1"/>
        <v>2862.4960837199092</v>
      </c>
      <c r="E37" s="140">
        <f>IF(B37&lt;=$F$15,(E$17*(VLOOKUP($H$2,Лист2!$A:$N,12,0)-(B37-1)*VLOOKUP($H$2,Лист2!$A:$N,13,0))),0)</f>
        <v>0</v>
      </c>
      <c r="F37" s="130">
        <f t="shared" si="2"/>
        <v>6242.5118635016461</v>
      </c>
      <c r="G37" s="146">
        <f t="shared" si="3"/>
        <v>9105.0079472215548</v>
      </c>
      <c r="H37" s="146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46215</v>
      </c>
      <c r="D38" s="129">
        <f t="shared" si="1"/>
        <v>3077.1832899989017</v>
      </c>
      <c r="E38" s="140">
        <f>IF(B38&lt;=$F$15,(E$17*(VLOOKUP($H$2,Лист2!$A:$N,12,0)-(B38-1)*VLOOKUP($H$2,Лист2!$A:$N,13,0))),0)</f>
        <v>0</v>
      </c>
      <c r="F38" s="130">
        <f t="shared" si="2"/>
        <v>6027.8246572226526</v>
      </c>
      <c r="G38" s="146">
        <f t="shared" si="3"/>
        <v>9105.0079472215548</v>
      </c>
      <c r="H38" s="146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46246</v>
      </c>
      <c r="D39" s="129">
        <f t="shared" si="1"/>
        <v>3307.9720367488194</v>
      </c>
      <c r="E39" s="140">
        <f>IF(B39&lt;=$F$15,(E$17*(VLOOKUP($H$2,Лист2!$A:$N,12,0)-(B39-1)*VLOOKUP($H$2,Лист2!$A:$N,13,0))),0)</f>
        <v>0</v>
      </c>
      <c r="F39" s="130">
        <f t="shared" si="2"/>
        <v>5797.0359104727349</v>
      </c>
      <c r="G39" s="146">
        <f t="shared" si="3"/>
        <v>9105.0079472215548</v>
      </c>
      <c r="H39" s="146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46277</v>
      </c>
      <c r="D40" s="129">
        <f t="shared" si="1"/>
        <v>3556.0699395049814</v>
      </c>
      <c r="E40" s="140">
        <f>IF(B40&lt;=$F$15,(E$17*(VLOOKUP($H$2,Лист2!$A:$N,12,0)-(B40-1)*VLOOKUP($H$2,Лист2!$A:$N,13,0))),0)</f>
        <v>0</v>
      </c>
      <c r="F40" s="130">
        <f t="shared" si="2"/>
        <v>5548.9380077165742</v>
      </c>
      <c r="G40" s="146">
        <f t="shared" si="3"/>
        <v>9105.0079472215548</v>
      </c>
      <c r="H40" s="146"/>
      <c r="I40" s="3"/>
    </row>
    <row r="41" spans="1:11" x14ac:dyDescent="0.2">
      <c r="A41" s="1">
        <v>13</v>
      </c>
      <c r="B41" s="101">
        <v>13</v>
      </c>
      <c r="C41" s="138">
        <f t="shared" ca="1" si="0"/>
        <v>46307</v>
      </c>
      <c r="D41" s="129">
        <f t="shared" si="1"/>
        <v>3822.7751849678543</v>
      </c>
      <c r="E41" s="140">
        <f>IF(B41&lt;=$F$15,(E$17*(VLOOKUP($H$2,Лист2!$A:$N,12,0)-(B41-1)*VLOOKUP($H$2,Лист2!$A:$N,13,0))),0)</f>
        <v>0</v>
      </c>
      <c r="F41" s="130">
        <f t="shared" si="2"/>
        <v>5282.2327622537005</v>
      </c>
      <c r="G41" s="146">
        <f t="shared" si="3"/>
        <v>9105.0079472215548</v>
      </c>
      <c r="H41" s="146"/>
      <c r="I41" s="3"/>
    </row>
    <row r="42" spans="1:11" x14ac:dyDescent="0.2">
      <c r="A42" s="1">
        <v>14</v>
      </c>
      <c r="B42" s="101">
        <v>14</v>
      </c>
      <c r="C42" s="138">
        <f t="shared" ca="1" si="0"/>
        <v>46338</v>
      </c>
      <c r="D42" s="129">
        <f t="shared" si="1"/>
        <v>4109.4833238404435</v>
      </c>
      <c r="E42" s="140">
        <f>IF(B42&lt;=$F$15,(E$17*(VLOOKUP($H$2,Лист2!$A:$N,12,0)-(B42-1)*VLOOKUP($H$2,Лист2!$A:$N,13,0))),0)</f>
        <v>0</v>
      </c>
      <c r="F42" s="130">
        <f t="shared" si="2"/>
        <v>4995.5246233811113</v>
      </c>
      <c r="G42" s="146">
        <f t="shared" si="3"/>
        <v>9105.0079472215548</v>
      </c>
      <c r="H42" s="146"/>
      <c r="I42" s="3"/>
    </row>
    <row r="43" spans="1:11" x14ac:dyDescent="0.2">
      <c r="A43" s="1">
        <v>15</v>
      </c>
      <c r="B43" s="101">
        <v>15</v>
      </c>
      <c r="C43" s="138">
        <f t="shared" ca="1" si="0"/>
        <v>46368</v>
      </c>
      <c r="D43" s="129">
        <f t="shared" si="1"/>
        <v>4417.6945731284768</v>
      </c>
      <c r="E43" s="140">
        <f>IF(B43&lt;=$F$15,(E$17*(VLOOKUP($H$2,Лист2!$A:$N,12,0)-(B43-1)*VLOOKUP($H$2,Лист2!$A:$N,13,0))),0)</f>
        <v>0</v>
      </c>
      <c r="F43" s="130">
        <f t="shared" si="2"/>
        <v>4687.313374093078</v>
      </c>
      <c r="G43" s="146">
        <f t="shared" si="3"/>
        <v>9105.0079472215548</v>
      </c>
      <c r="H43" s="146"/>
      <c r="I43" s="3"/>
    </row>
    <row r="44" spans="1:11" x14ac:dyDescent="0.2">
      <c r="A44" s="1">
        <v>16</v>
      </c>
      <c r="B44" s="101">
        <v>16</v>
      </c>
      <c r="C44" s="138">
        <f t="shared" ca="1" si="0"/>
        <v>46399</v>
      </c>
      <c r="D44" s="129">
        <f t="shared" si="1"/>
        <v>4749.0216661131126</v>
      </c>
      <c r="E44" s="140">
        <f>IF(B44&lt;=$F$15,(E$17*(VLOOKUP($H$2,Лист2!$A:$N,12,0)-(B44-1)*VLOOKUP($H$2,Лист2!$A:$N,13,0))),0)</f>
        <v>0</v>
      </c>
      <c r="F44" s="130">
        <f t="shared" si="2"/>
        <v>4355.9862811084422</v>
      </c>
      <c r="G44" s="146">
        <f t="shared" si="3"/>
        <v>9105.0079472215548</v>
      </c>
      <c r="H44" s="146"/>
      <c r="I44" s="3"/>
    </row>
    <row r="45" spans="1:11" x14ac:dyDescent="0.2">
      <c r="A45" s="1">
        <v>22</v>
      </c>
      <c r="B45" s="101">
        <v>17</v>
      </c>
      <c r="C45" s="138">
        <f t="shared" ca="1" si="0"/>
        <v>46430</v>
      </c>
      <c r="D45" s="129">
        <f t="shared" si="1"/>
        <v>5105.198291071596</v>
      </c>
      <c r="E45" s="140">
        <f>IF(B45&lt;=$F$15,(E$17*(VLOOKUP($H$2,Лист2!$A:$N,12,0)-(B45-1)*VLOOKUP($H$2,Лист2!$A:$N,13,0))),0)</f>
        <v>0</v>
      </c>
      <c r="F45" s="130">
        <f t="shared" si="2"/>
        <v>3999.8096561499583</v>
      </c>
      <c r="G45" s="146">
        <f t="shared" si="3"/>
        <v>9105.0079472215548</v>
      </c>
      <c r="H45" s="146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46458</v>
      </c>
      <c r="D46" s="129">
        <f t="shared" si="1"/>
        <v>5488.0881629019659</v>
      </c>
      <c r="E46" s="140">
        <f>IF(B46&lt;=$F$15,(E$17*(VLOOKUP($H$2,Лист2!$A:$N,12,0)-(B46-1)*VLOOKUP($H$2,Лист2!$A:$N,13,0))),0)</f>
        <v>0</v>
      </c>
      <c r="F46" s="130">
        <f t="shared" si="2"/>
        <v>3616.9197843195889</v>
      </c>
      <c r="G46" s="146">
        <f t="shared" si="3"/>
        <v>9105.0079472215548</v>
      </c>
      <c r="H46" s="146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46489</v>
      </c>
      <c r="D47" s="129">
        <f t="shared" si="1"/>
        <v>5899.694775119614</v>
      </c>
      <c r="E47" s="140">
        <f>IF(B47&lt;=$F$15,(E$17*(VLOOKUP($H$2,Лист2!$A:$N,12,0)-(B47-1)*VLOOKUP($H$2,Лист2!$A:$N,13,0))),0)</f>
        <v>0</v>
      </c>
      <c r="F47" s="130">
        <f t="shared" si="2"/>
        <v>3205.3131721019408</v>
      </c>
      <c r="G47" s="146">
        <f t="shared" si="3"/>
        <v>9105.0079472215548</v>
      </c>
      <c r="H47" s="146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46519</v>
      </c>
      <c r="D48" s="129">
        <f t="shared" si="1"/>
        <v>6342.1718832535835</v>
      </c>
      <c r="E48" s="140">
        <f>IF(B48&lt;=$F$15,(E$17*(VLOOKUP($H$2,Лист2!$A:$N,12,0)-(B48-1)*VLOOKUP($H$2,Лист2!$A:$N,13,0))),0)</f>
        <v>0</v>
      </c>
      <c r="F48" s="130">
        <f t="shared" si="2"/>
        <v>2762.8360639679704</v>
      </c>
      <c r="G48" s="146">
        <f t="shared" si="3"/>
        <v>9105.0079472215548</v>
      </c>
      <c r="H48" s="146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46550</v>
      </c>
      <c r="D49" s="129">
        <f t="shared" si="1"/>
        <v>6817.8347744976027</v>
      </c>
      <c r="E49" s="140">
        <f>IF(B49&lt;=$F$15,(E$17*(VLOOKUP($H$2,Лист2!$A:$N,12,0)-(B49-1)*VLOOKUP($H$2,Лист2!$A:$N,13,0))),0)</f>
        <v>0</v>
      </c>
      <c r="F49" s="130">
        <f t="shared" si="2"/>
        <v>2287.1731727239521</v>
      </c>
      <c r="G49" s="146">
        <f t="shared" si="3"/>
        <v>9105.0079472215548</v>
      </c>
      <c r="H49" s="146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46580</v>
      </c>
      <c r="D50" s="129">
        <f t="shared" si="1"/>
        <v>7329.1723825849231</v>
      </c>
      <c r="E50" s="140">
        <f>IF(B50&lt;=$F$15,(E$17*(VLOOKUP($H$2,Лист2!$A:$N,12,0)-(B50-1)*VLOOKUP($H$2,Лист2!$A:$N,13,0))),0)</f>
        <v>0</v>
      </c>
      <c r="F50" s="130">
        <f t="shared" si="2"/>
        <v>1775.835564636631</v>
      </c>
      <c r="G50" s="146">
        <f t="shared" si="3"/>
        <v>9105.0079472215548</v>
      </c>
      <c r="H50" s="146"/>
      <c r="I50" s="3"/>
    </row>
    <row r="51" spans="1:11" x14ac:dyDescent="0.2">
      <c r="A51" s="49">
        <v>25</v>
      </c>
      <c r="B51" s="101">
        <v>23</v>
      </c>
      <c r="C51" s="138">
        <f t="shared" ca="1" si="0"/>
        <v>46611</v>
      </c>
      <c r="D51" s="129">
        <f t="shared" si="1"/>
        <v>7878.8603112787932</v>
      </c>
      <c r="E51" s="140">
        <f>IF(B51&lt;=$F$15,(E$17*(VLOOKUP($H$2,Лист2!$A:$N,12,0)-(B51-1)*VLOOKUP($H$2,Лист2!$A:$N,13,0))),0)</f>
        <v>0</v>
      </c>
      <c r="F51" s="130">
        <f t="shared" si="2"/>
        <v>1226.1476359427622</v>
      </c>
      <c r="G51" s="146">
        <f t="shared" si="3"/>
        <v>9105.0079472215548</v>
      </c>
      <c r="H51" s="146"/>
      <c r="I51" s="3"/>
    </row>
    <row r="52" spans="1:11" x14ac:dyDescent="0.2">
      <c r="A52" s="49"/>
      <c r="B52" s="101">
        <v>24</v>
      </c>
      <c r="C52" s="138">
        <f t="shared" ca="1" si="0"/>
        <v>46642</v>
      </c>
      <c r="D52" s="129">
        <f t="shared" si="1"/>
        <v>8469.7748346247008</v>
      </c>
      <c r="E52" s="140">
        <f>IF(B52&lt;=$F$15,(E$17*(VLOOKUP($H$2,Лист2!$A:$N,12,0)-(B52-1)*VLOOKUP($H$2,Лист2!$A:$N,13,0))),0)</f>
        <v>0</v>
      </c>
      <c r="F52" s="130">
        <f t="shared" si="2"/>
        <v>635.23311259685272</v>
      </c>
      <c r="G52" s="146">
        <f t="shared" si="3"/>
        <v>9105.007947221553</v>
      </c>
      <c r="H52" s="146"/>
      <c r="I52" s="3"/>
    </row>
    <row r="53" spans="1:11" x14ac:dyDescent="0.2">
      <c r="A53" s="49"/>
      <c r="B53" s="101">
        <v>25</v>
      </c>
      <c r="C53" s="138">
        <f t="shared" ca="1" si="0"/>
        <v>46672</v>
      </c>
      <c r="D53" s="129">
        <f t="shared" si="1"/>
        <v>0</v>
      </c>
      <c r="E53" s="140">
        <f>IF(B53&lt;=$F$15,(E$17*(VLOOKUP($H$2,Лист2!$A:$N,12,0)-(B53-1)*VLOOKUP($H$2,Лист2!$A:$N,13,0))),0)</f>
        <v>0</v>
      </c>
      <c r="F53" s="130">
        <f t="shared" si="2"/>
        <v>0</v>
      </c>
      <c r="G53" s="146">
        <f t="shared" si="3"/>
        <v>0</v>
      </c>
      <c r="H53" s="146"/>
      <c r="I53" s="3"/>
    </row>
    <row r="54" spans="1:11" x14ac:dyDescent="0.2">
      <c r="A54" s="49"/>
      <c r="B54" s="101">
        <v>26</v>
      </c>
      <c r="C54" s="138">
        <f t="shared" ca="1" si="0"/>
        <v>46703</v>
      </c>
      <c r="D54" s="129">
        <f t="shared" si="1"/>
        <v>0</v>
      </c>
      <c r="E54" s="140">
        <f>IF(B54&lt;=$F$15,(E$17*(VLOOKUP($H$2,Лист2!$A:$N,12,0)-(B54-1)*VLOOKUP($H$2,Лист2!$A:$N,13,0))),0)</f>
        <v>0</v>
      </c>
      <c r="F54" s="130">
        <f t="shared" si="2"/>
        <v>0</v>
      </c>
      <c r="G54" s="146">
        <f t="shared" si="3"/>
        <v>0</v>
      </c>
      <c r="H54" s="146"/>
      <c r="I54" s="3"/>
    </row>
    <row r="55" spans="1:11" x14ac:dyDescent="0.2">
      <c r="A55" s="49"/>
      <c r="B55" s="101">
        <v>27</v>
      </c>
      <c r="C55" s="138">
        <f t="shared" ca="1" si="0"/>
        <v>46733</v>
      </c>
      <c r="D55" s="129">
        <f t="shared" si="1"/>
        <v>0</v>
      </c>
      <c r="E55" s="140">
        <f>IF(B55&lt;=$F$15,(E$17*(VLOOKUP($H$2,Лист2!$A:$N,12,0)-(B55-1)*VLOOKUP($H$2,Лист2!$A:$N,13,0))),0)</f>
        <v>0</v>
      </c>
      <c r="F55" s="130">
        <f t="shared" si="2"/>
        <v>0</v>
      </c>
      <c r="G55" s="146">
        <f t="shared" si="3"/>
        <v>0</v>
      </c>
      <c r="H55" s="146"/>
      <c r="I55" s="3"/>
    </row>
    <row r="56" spans="1:11" x14ac:dyDescent="0.2">
      <c r="A56" s="49"/>
      <c r="B56" s="101">
        <v>28</v>
      </c>
      <c r="C56" s="138">
        <f t="shared" ca="1" si="0"/>
        <v>46764</v>
      </c>
      <c r="D56" s="129">
        <f t="shared" si="1"/>
        <v>0</v>
      </c>
      <c r="E56" s="140">
        <f>IF(B56&lt;=$F$15,(E$17*(VLOOKUP($H$2,Лист2!$A:$N,12,0)-(B56-1)*VLOOKUP($H$2,Лист2!$A:$N,13,0))),0)</f>
        <v>0</v>
      </c>
      <c r="F56" s="130">
        <f t="shared" si="2"/>
        <v>0</v>
      </c>
      <c r="G56" s="146">
        <f t="shared" si="3"/>
        <v>0</v>
      </c>
      <c r="H56" s="146"/>
      <c r="I56" s="3"/>
    </row>
    <row r="57" spans="1:11" x14ac:dyDescent="0.2">
      <c r="A57" s="49"/>
      <c r="B57" s="101">
        <v>29</v>
      </c>
      <c r="C57" s="138">
        <f t="shared" ca="1" si="0"/>
        <v>46795</v>
      </c>
      <c r="D57" s="129">
        <f t="shared" si="1"/>
        <v>0</v>
      </c>
      <c r="E57" s="140">
        <f>IF(B57&lt;=$F$15,(E$17*(VLOOKUP($H$2,Лист2!$A:$N,12,0)-(B57-1)*VLOOKUP($H$2,Лист2!$A:$N,13,0))),0)</f>
        <v>0</v>
      </c>
      <c r="F57" s="130">
        <f t="shared" si="2"/>
        <v>0</v>
      </c>
      <c r="G57" s="146">
        <f t="shared" si="3"/>
        <v>0</v>
      </c>
      <c r="H57" s="146"/>
      <c r="I57" s="3"/>
    </row>
    <row r="58" spans="1:11" x14ac:dyDescent="0.2">
      <c r="A58" s="49">
        <v>25</v>
      </c>
      <c r="B58" s="101">
        <v>30</v>
      </c>
      <c r="C58" s="138">
        <f t="shared" ca="1" si="0"/>
        <v>46824</v>
      </c>
      <c r="D58" s="129">
        <f t="shared" si="1"/>
        <v>0</v>
      </c>
      <c r="E58" s="140">
        <f>IF(B58&lt;=$F$15,(E$17*(VLOOKUP($H$2,Лист2!$A:$N,12,0)-(B58-1)*VLOOKUP($H$2,Лист2!$A:$N,13,0))),0)</f>
        <v>0</v>
      </c>
      <c r="F58" s="130">
        <f t="shared" si="2"/>
        <v>0</v>
      </c>
      <c r="G58" s="146">
        <f t="shared" si="3"/>
        <v>0</v>
      </c>
      <c r="H58" s="146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46855</v>
      </c>
      <c r="D59" s="129">
        <f t="shared" si="1"/>
        <v>0</v>
      </c>
      <c r="E59" s="140">
        <f>IF(B59&lt;=$F$15,(E$17*(VLOOKUP($H$2,Лист2!$A:$N,12,0)-(B59-1)*VLOOKUP($H$2,Лист2!$A:$N,13,0))),0)</f>
        <v>0</v>
      </c>
      <c r="F59" s="130">
        <f t="shared" si="2"/>
        <v>0</v>
      </c>
      <c r="G59" s="146">
        <f t="shared" si="3"/>
        <v>0</v>
      </c>
      <c r="H59" s="146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46885</v>
      </c>
      <c r="D60" s="129">
        <f t="shared" si="1"/>
        <v>0</v>
      </c>
      <c r="E60" s="140">
        <f>IF(B60&lt;=$F$15,(E$17*(VLOOKUP($H$2,Лист2!$A:$N,12,0)-(B60-1)*VLOOKUP($H$2,Лист2!$A:$N,13,0))),0)</f>
        <v>0</v>
      </c>
      <c r="F60" s="130">
        <f t="shared" si="2"/>
        <v>0</v>
      </c>
      <c r="G60" s="146">
        <f t="shared" si="3"/>
        <v>0</v>
      </c>
      <c r="H60" s="146"/>
      <c r="I60" s="106"/>
      <c r="J60" s="106"/>
    </row>
    <row r="61" spans="1:11" x14ac:dyDescent="0.2">
      <c r="A61" s="49"/>
      <c r="B61" s="101">
        <v>33</v>
      </c>
      <c r="C61" s="138">
        <f t="shared" ca="1" si="0"/>
        <v>46916</v>
      </c>
      <c r="D61" s="129">
        <f t="shared" si="1"/>
        <v>0</v>
      </c>
      <c r="E61" s="140">
        <f>IF(B61&lt;=$F$15,(E$17*(VLOOKUP($H$2,Лист2!$A:$N,12,0)-(B61-1)*VLOOKUP($H$2,Лист2!$A:$N,13,0))),0)</f>
        <v>0</v>
      </c>
      <c r="F61" s="130">
        <f t="shared" si="2"/>
        <v>0</v>
      </c>
      <c r="G61" s="146">
        <f t="shared" si="3"/>
        <v>0</v>
      </c>
      <c r="H61" s="146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46946</v>
      </c>
      <c r="D62" s="129">
        <f t="shared" si="1"/>
        <v>0</v>
      </c>
      <c r="E62" s="140">
        <f>IF(B62&lt;=$F$15,(E$17*(VLOOKUP($H$2,Лист2!$A:$N,12,0)-(B62-1)*VLOOKUP($H$2,Лист2!$A:$N,13,0))),0)</f>
        <v>0</v>
      </c>
      <c r="F62" s="130">
        <f t="shared" si="2"/>
        <v>0</v>
      </c>
      <c r="G62" s="146">
        <f t="shared" si="3"/>
        <v>0</v>
      </c>
      <c r="H62" s="146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46977</v>
      </c>
      <c r="D63" s="129">
        <f t="shared" si="1"/>
        <v>0</v>
      </c>
      <c r="E63" s="140">
        <f>IF(B63&lt;=$F$15,(E$17*(VLOOKUP($H$2,Лист2!$A:$N,12,0)-(B63-1)*VLOOKUP($H$2,Лист2!$A:$N,13,0))),0)</f>
        <v>0</v>
      </c>
      <c r="F63" s="130">
        <f t="shared" si="2"/>
        <v>0</v>
      </c>
      <c r="G63" s="146">
        <f t="shared" si="3"/>
        <v>0</v>
      </c>
      <c r="H63" s="146"/>
      <c r="I63" s="106"/>
      <c r="J63" s="106"/>
    </row>
    <row r="64" spans="1:11" x14ac:dyDescent="0.2">
      <c r="A64" s="49"/>
      <c r="B64" s="101">
        <v>36</v>
      </c>
      <c r="C64" s="138">
        <f t="shared" ca="1" si="0"/>
        <v>47008</v>
      </c>
      <c r="D64" s="129">
        <f t="shared" si="1"/>
        <v>0</v>
      </c>
      <c r="E64" s="140">
        <f>IF(B64&lt;=$F$15,(E$17*(VLOOKUP($H$2,Лист2!$A:$N,12,0)-(B64-1)*VLOOKUP($H$2,Лист2!$A:$N,13,0))),0)</f>
        <v>0</v>
      </c>
      <c r="F64" s="130">
        <f t="shared" si="2"/>
        <v>0</v>
      </c>
      <c r="G64" s="146">
        <f t="shared" si="3"/>
        <v>0</v>
      </c>
      <c r="H64" s="146"/>
      <c r="I64" s="106"/>
      <c r="J64" s="106"/>
    </row>
    <row r="65" spans="1:10" x14ac:dyDescent="0.2">
      <c r="A65" s="49"/>
      <c r="B65" s="101">
        <v>37</v>
      </c>
      <c r="C65" s="104">
        <f t="shared" ca="1" si="0"/>
        <v>47038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46">
        <f t="shared" si="3"/>
        <v>0</v>
      </c>
      <c r="H65" s="146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47069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46">
        <f t="shared" si="3"/>
        <v>0</v>
      </c>
      <c r="H66" s="146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47099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46">
        <f t="shared" si="3"/>
        <v>0</v>
      </c>
      <c r="H67" s="146"/>
      <c r="I67" s="106"/>
      <c r="J67" s="106"/>
    </row>
    <row r="68" spans="1:10" x14ac:dyDescent="0.2">
      <c r="A68" s="49"/>
      <c r="B68" s="101">
        <v>40</v>
      </c>
      <c r="C68" s="104">
        <f t="shared" ca="1" si="0"/>
        <v>47130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46">
        <f t="shared" si="3"/>
        <v>0</v>
      </c>
      <c r="H68" s="146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47161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46">
        <f t="shared" si="3"/>
        <v>0</v>
      </c>
      <c r="H69" s="146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47189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46">
        <f t="shared" si="3"/>
        <v>0</v>
      </c>
      <c r="H70" s="146"/>
      <c r="I70" s="106"/>
      <c r="J70" s="106"/>
    </row>
    <row r="71" spans="1:10" x14ac:dyDescent="0.2">
      <c r="A71" s="49"/>
      <c r="B71" s="101">
        <v>43</v>
      </c>
      <c r="C71" s="104">
        <f t="shared" ca="1" si="0"/>
        <v>47220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46">
        <f t="shared" si="3"/>
        <v>0</v>
      </c>
      <c r="H71" s="146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47250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46">
        <f t="shared" si="3"/>
        <v>0</v>
      </c>
      <c r="H72" s="146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47281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46">
        <f t="shared" si="3"/>
        <v>0</v>
      </c>
      <c r="H73" s="146"/>
      <c r="I73" s="106"/>
      <c r="J73" s="106"/>
    </row>
    <row r="74" spans="1:10" x14ac:dyDescent="0.2">
      <c r="A74" s="49"/>
      <c r="B74" s="101">
        <v>46</v>
      </c>
      <c r="C74" s="104">
        <f t="shared" ca="1" si="0"/>
        <v>47311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46">
        <f t="shared" si="3"/>
        <v>0</v>
      </c>
      <c r="H74" s="146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47342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46">
        <f t="shared" si="3"/>
        <v>0</v>
      </c>
      <c r="H75" s="146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47373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46">
        <f t="shared" si="3"/>
        <v>0</v>
      </c>
      <c r="H76" s="146"/>
      <c r="I76" s="106"/>
      <c r="J76" s="106"/>
    </row>
    <row r="77" spans="1:10" x14ac:dyDescent="0.2">
      <c r="A77" s="49"/>
      <c r="B77" s="101">
        <v>49</v>
      </c>
      <c r="C77" s="104">
        <f t="shared" ca="1" si="0"/>
        <v>47403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46">
        <f t="shared" si="3"/>
        <v>0</v>
      </c>
      <c r="H77" s="146"/>
      <c r="I77" s="106"/>
      <c r="J77" s="106"/>
    </row>
    <row r="78" spans="1:10" x14ac:dyDescent="0.2">
      <c r="A78" s="49"/>
      <c r="B78" s="101">
        <v>50</v>
      </c>
      <c r="C78" s="104">
        <f t="shared" ca="1" si="0"/>
        <v>47434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46">
        <f t="shared" si="3"/>
        <v>0</v>
      </c>
      <c r="H78" s="146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47464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46">
        <f t="shared" si="3"/>
        <v>0</v>
      </c>
      <c r="H79" s="146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47495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46">
        <f t="shared" si="3"/>
        <v>0</v>
      </c>
      <c r="H80" s="146"/>
      <c r="I80" s="106"/>
      <c r="J80" s="106"/>
    </row>
    <row r="81" spans="1:10" x14ac:dyDescent="0.2">
      <c r="A81" s="49"/>
      <c r="B81" s="101">
        <v>53</v>
      </c>
      <c r="C81" s="104">
        <f t="shared" ca="1" si="0"/>
        <v>47526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46">
        <f t="shared" si="3"/>
        <v>0</v>
      </c>
      <c r="H81" s="146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47554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46">
        <f t="shared" si="3"/>
        <v>0</v>
      </c>
      <c r="H82" s="146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47585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46">
        <f t="shared" si="3"/>
        <v>0</v>
      </c>
      <c r="H83" s="146"/>
      <c r="I83" s="106"/>
      <c r="J83" s="106"/>
    </row>
    <row r="84" spans="1:10" x14ac:dyDescent="0.2">
      <c r="A84" s="49"/>
      <c r="B84" s="101">
        <v>56</v>
      </c>
      <c r="C84" s="104">
        <f t="shared" ca="1" si="0"/>
        <v>47615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46">
        <f t="shared" si="3"/>
        <v>0</v>
      </c>
      <c r="H84" s="146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47646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46">
        <f t="shared" si="3"/>
        <v>0</v>
      </c>
      <c r="H85" s="146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47676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46">
        <f t="shared" si="3"/>
        <v>0</v>
      </c>
      <c r="H86" s="146"/>
      <c r="I86" s="106"/>
      <c r="J86" s="106"/>
    </row>
    <row r="87" spans="1:10" x14ac:dyDescent="0.2">
      <c r="A87" s="49"/>
      <c r="B87" s="101">
        <v>59</v>
      </c>
      <c r="C87" s="104">
        <f t="shared" ca="1" si="0"/>
        <v>47707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46">
        <f t="shared" si="3"/>
        <v>0</v>
      </c>
      <c r="H87" s="146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47738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47">
        <f t="shared" si="3"/>
        <v>0</v>
      </c>
      <c r="H88" s="147"/>
      <c r="I88" s="106"/>
      <c r="J88" s="106"/>
    </row>
    <row r="89" spans="1:10" ht="16.5" thickBot="1" x14ac:dyDescent="0.25">
      <c r="A89" s="49"/>
      <c r="B89" s="141" t="s">
        <v>1</v>
      </c>
      <c r="C89" s="142"/>
      <c r="D89" s="133">
        <f>SUM(D29:D88)</f>
        <v>99999.999999999985</v>
      </c>
      <c r="E89" s="133">
        <f>SUM(E29:E88)</f>
        <v>0</v>
      </c>
      <c r="F89" s="133">
        <f>SUM(F29:F88)</f>
        <v>118520.19073331733</v>
      </c>
      <c r="G89" s="143">
        <f>SUM(G29:H88)</f>
        <v>218520.19073331726</v>
      </c>
      <c r="H89" s="144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45" t="s">
        <v>3</v>
      </c>
      <c r="F91" s="145"/>
      <c r="G91" s="145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1bQrN83baOxiw2Xhtjva55YGrHsq6x/R7WCsgQuNBtdE709pX4clIvG755vJvl6xDVJJBVQ+ER4eVss2SWRQbA==" saltValue="GOb2DJFWuR6iyuJyaI0O0w==" spinCount="100000" sheet="1" objects="1" scenarios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000-000000000000}">
      <formula1>$K$13:$K$16</formula1>
    </dataValidation>
  </dataValidations>
  <pageMargins left="0.39370078740157483" right="0.35433070866141736" top="0.59055118110236227" bottom="0.59055118110236227" header="0.51181102362204722" footer="0.51181102362204722"/>
  <pageSetup paperSize="9" scale="68" firstPageNumber="2" orientation="portrait" verticalDpi="300" r:id="rId1"/>
  <headerFooter alignWithMargins="0"/>
  <rowBreaks count="1" manualBreakCount="1">
    <brk id="8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7"/>
  <sheetViews>
    <sheetView zoomScale="85" zoomScaleNormal="85" workbookViewId="0">
      <selection activeCell="B38" sqref="B38"/>
    </sheetView>
  </sheetViews>
  <sheetFormatPr defaultColWidth="9.140625" defaultRowHeight="12.75" x14ac:dyDescent="0.2"/>
  <cols>
    <col min="1" max="1" width="35.28515625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49</v>
      </c>
      <c r="B4" s="117">
        <v>500000</v>
      </c>
      <c r="C4" s="117">
        <v>60</v>
      </c>
      <c r="D4" s="118">
        <v>0.89</v>
      </c>
      <c r="E4" s="118">
        <v>0</v>
      </c>
      <c r="F4" s="118">
        <v>0</v>
      </c>
      <c r="G4" s="117" t="str">
        <f t="shared" ref="G4" si="0">I$2&amp;" "&amp;B4&amp;" "&amp;H$2</f>
        <v>max. 500000 грн.</v>
      </c>
      <c r="H4" s="117">
        <f t="shared" ref="H4" si="1">B4+B4*E4</f>
        <v>500000</v>
      </c>
      <c r="I4" s="117"/>
      <c r="J4" s="117">
        <v>4</v>
      </c>
      <c r="K4" s="119">
        <f t="shared" ref="K4" si="2">D4/12/(1-1/POWER(1+D4/12,C4))*H4+H4*F4</f>
        <v>37597.205731050773</v>
      </c>
      <c r="L4" s="120">
        <v>0</v>
      </c>
      <c r="M4" s="121">
        <v>0</v>
      </c>
      <c r="N4" s="117">
        <v>5000</v>
      </c>
    </row>
    <row r="5" spans="1:14" x14ac:dyDescent="0.2">
      <c r="A5" s="117" t="s">
        <v>48</v>
      </c>
      <c r="B5" s="117">
        <v>500000</v>
      </c>
      <c r="C5" s="117">
        <v>36</v>
      </c>
      <c r="D5" s="118">
        <v>0.89</v>
      </c>
      <c r="E5" s="118">
        <v>0</v>
      </c>
      <c r="F5" s="118">
        <v>0</v>
      </c>
      <c r="G5" s="117" t="str">
        <f t="shared" ref="G5" si="3">I$2&amp;" "&amp;B5&amp;" "&amp;H$2</f>
        <v>max. 500000 грн.</v>
      </c>
      <c r="H5" s="117">
        <f t="shared" ref="H5" si="4">B5+B5*E5</f>
        <v>500000</v>
      </c>
      <c r="I5" s="117"/>
      <c r="J5" s="117">
        <v>4</v>
      </c>
      <c r="K5" s="119">
        <f t="shared" ref="K5" si="5">D5/12/(1-1/POWER(1+D5/12,C5))*H5+H5*F5</f>
        <v>40138.08934632958</v>
      </c>
      <c r="L5" s="120">
        <v>0</v>
      </c>
      <c r="M5" s="121">
        <v>0</v>
      </c>
      <c r="N5" s="117">
        <v>5000</v>
      </c>
    </row>
    <row r="6" spans="1:14" x14ac:dyDescent="0.2">
      <c r="A6" s="117" t="s">
        <v>46</v>
      </c>
      <c r="B6" s="117">
        <v>500000</v>
      </c>
      <c r="C6" s="117">
        <v>24</v>
      </c>
      <c r="D6" s="118">
        <v>0.9</v>
      </c>
      <c r="E6" s="118">
        <v>0</v>
      </c>
      <c r="F6" s="118">
        <v>0</v>
      </c>
      <c r="G6" s="117" t="str">
        <f t="shared" ref="G6" si="6">I$2&amp;" "&amp;B6&amp;" "&amp;H$2</f>
        <v>max. 500000 грн.</v>
      </c>
      <c r="H6" s="117">
        <f t="shared" ref="H6" si="7">B6+B6*E6</f>
        <v>500000</v>
      </c>
      <c r="I6" s="117"/>
      <c r="J6" s="117">
        <v>4</v>
      </c>
      <c r="K6" s="119">
        <f t="shared" ref="K6" si="8">D6/12/(1-1/POWER(1+D6/12,C6))*H6+H6*F6</f>
        <v>45525.039736107785</v>
      </c>
      <c r="L6" s="120">
        <v>0</v>
      </c>
      <c r="M6" s="121">
        <v>0</v>
      </c>
      <c r="N6" s="117">
        <v>5000</v>
      </c>
    </row>
    <row r="7" spans="1:14" x14ac:dyDescent="0.2">
      <c r="A7" s="117" t="s">
        <v>47</v>
      </c>
      <c r="B7" s="117">
        <v>500000</v>
      </c>
      <c r="C7" s="117">
        <v>12</v>
      </c>
      <c r="D7" s="118">
        <v>0.99</v>
      </c>
      <c r="E7" s="118">
        <v>0</v>
      </c>
      <c r="F7" s="118">
        <v>0</v>
      </c>
      <c r="G7" s="117" t="str">
        <f t="shared" ref="G7" si="9">I$2&amp;" "&amp;B7&amp;" "&amp;H$2</f>
        <v>max. 500000 грн.</v>
      </c>
      <c r="H7" s="117">
        <f t="shared" ref="H7" si="10">B7+B7*E7</f>
        <v>500000</v>
      </c>
      <c r="I7" s="117"/>
      <c r="J7" s="117">
        <v>6</v>
      </c>
      <c r="K7" s="119">
        <f t="shared" ref="K7" si="11">D7/12/(1-1/POWER(1+D7/12,C7))*H7+H7*F7</f>
        <v>67209.449439044547</v>
      </c>
      <c r="L7" s="120">
        <v>0</v>
      </c>
      <c r="M7" s="121">
        <v>0</v>
      </c>
      <c r="N7" s="117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79" t="s">
        <v>13</v>
      </c>
      <c r="B1" s="180"/>
      <c r="C1" s="180"/>
      <c r="D1" s="18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4" t="s">
        <v>30</v>
      </c>
      <c r="B3" s="175"/>
      <c r="C3" s="175"/>
      <c r="D3" s="17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74" t="s">
        <v>29</v>
      </c>
      <c r="B5" s="175"/>
      <c r="C5" s="175"/>
      <c r="D5" s="17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74" t="s">
        <v>31</v>
      </c>
      <c r="B7" s="175"/>
      <c r="C7" s="175"/>
      <c r="D7" s="17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74" t="s">
        <v>44</v>
      </c>
      <c r="B9" s="175"/>
      <c r="C9" s="175"/>
      <c r="D9" s="17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74" t="s">
        <v>43</v>
      </c>
      <c r="B12" s="175"/>
      <c r="C12" s="175"/>
      <c r="D12" s="17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74" t="s">
        <v>38</v>
      </c>
      <c r="B14" s="175"/>
      <c r="C14" s="175"/>
      <c r="D14" s="17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74" t="s">
        <v>42</v>
      </c>
      <c r="B16" s="175"/>
      <c r="C16" s="175"/>
      <c r="D16" s="17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77" t="s">
        <v>5</v>
      </c>
      <c r="B20" s="17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82" t="s">
        <v>16</v>
      </c>
      <c r="B21" s="183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82" t="s">
        <v>6</v>
      </c>
      <c r="B22" s="183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82" t="s">
        <v>14</v>
      </c>
      <c r="B23" s="183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2" t="s">
        <v>15</v>
      </c>
      <c r="B24" s="183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85" t="s">
        <v>36</v>
      </c>
      <c r="B27" s="186"/>
      <c r="C27" s="186"/>
      <c r="D27" s="186"/>
      <c r="E27" s="186"/>
      <c r="F27" s="186"/>
      <c r="G27" s="187"/>
    </row>
    <row r="28" spans="1:8" ht="45.75" thickBot="1" x14ac:dyDescent="0.25">
      <c r="A28" s="188" t="s">
        <v>2</v>
      </c>
      <c r="B28" s="189"/>
      <c r="C28" s="84" t="s">
        <v>34</v>
      </c>
      <c r="D28" s="84" t="s">
        <v>32</v>
      </c>
      <c r="E28" s="84" t="s">
        <v>33</v>
      </c>
      <c r="F28" s="190" t="s">
        <v>35</v>
      </c>
      <c r="G28" s="191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84"/>
      <c r="E30" s="184"/>
      <c r="F30" s="184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21:B21"/>
    <mergeCell ref="A22:B22"/>
    <mergeCell ref="D30:F30"/>
    <mergeCell ref="A24:B24"/>
    <mergeCell ref="A27:G27"/>
    <mergeCell ref="A28:B28"/>
    <mergeCell ref="F28:G28"/>
    <mergeCell ref="A23:B23"/>
    <mergeCell ref="A12:D12"/>
    <mergeCell ref="A14:D14"/>
    <mergeCell ref="A16:D16"/>
    <mergeCell ref="A20:B20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Мобільний_для лідогенераторів</vt:lpstr>
      <vt:lpstr>Лист2</vt:lpstr>
      <vt:lpstr>Назви</vt:lpstr>
      <vt:lpstr>'Мобільний_для лідогенераторів'!Область_друку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2025-09-12T13:03:39Z</dcterms:modified>
</cp:coreProperties>
</file>