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рос\Позитив Нестандарт\"/>
    </mc:Choice>
  </mc:AlternateContent>
  <xr:revisionPtr revIDLastSave="0" documentId="13_ncr:1_{1DF53BBC-5F61-4C41-BF6E-834279FAE822}" xr6:coauthVersionLast="47" xr6:coauthVersionMax="47" xr10:uidLastSave="{00000000-0000-0000-0000-000000000000}"/>
  <workbookProtection workbookAlgorithmName="SHA-512" workbookHashValue="q8ekApYTsDgY1luIzSYpJXXryXlHoG1O8NiKE8DUw5DheMNIFE3OFbnFfBBAqq8noA0sdOiSC1eUQKVQ5XJw3Q==" workbookSaltValue="6tecVTrNj6xNcSzSHLNT3g==" workbookSpinCount="100000" lockStructure="1"/>
  <bookViews>
    <workbookView xWindow="-120" yWindow="-120" windowWidth="29040" windowHeight="15990" tabRatio="863" firstSheet="6" activeTab="8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Позитив_Нестандарт" sheetId="188" r:id="rId7"/>
    <sheet name="Від 200 000 до 500 000" sheetId="189" state="hidden" r:id="rId8"/>
    <sheet name="Позитив_Нестандарт СК" sheetId="192" r:id="rId9"/>
    <sheet name="Лист2" sheetId="165" state="hidden" r:id="rId10"/>
    <sheet name="Назви" sheetId="161" state="hidden" r:id="rId11"/>
    <sheet name="Лист3" sheetId="191" state="hidden" r:id="rId12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Позитив_Нестандарт!$A$27:$H$89</definedName>
    <definedName name="_xlnm._FilterDatabase" localSheetId="8" hidden="1">'Позитив_Нестандарт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6">Позитив_Нестандарт!$A$1:$I$92</definedName>
    <definedName name="_xlnm.Print_Area" localSheetId="8">'Позитив_Нестандарт СК'!$A$1:$I$92</definedName>
    <definedName name="_xlnm.Print_Area" localSheetId="1">Простий!$A$1:$I$95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92" l="1"/>
  <c r="K15" i="192"/>
  <c r="K16" i="192"/>
  <c r="K10" i="188"/>
  <c r="K11" i="188"/>
  <c r="K12" i="188"/>
  <c r="H11" i="165"/>
  <c r="K11" i="165" s="1"/>
  <c r="G11" i="165"/>
  <c r="H10" i="165"/>
  <c r="K10" i="165" s="1"/>
  <c r="G10" i="165"/>
  <c r="H9" i="165"/>
  <c r="K9" i="165" s="1"/>
  <c r="G9" i="165"/>
  <c r="H8" i="165"/>
  <c r="K8" i="165" s="1"/>
  <c r="G8" i="165"/>
  <c r="H7" i="165" l="1"/>
  <c r="K7" i="165" s="1"/>
  <c r="G7" i="165"/>
  <c r="H6" i="165"/>
  <c r="K6" i="165" s="1"/>
  <c r="G6" i="165"/>
  <c r="H5" i="165"/>
  <c r="K5" i="165" s="1"/>
  <c r="G5" i="165"/>
  <c r="H4" i="165"/>
  <c r="K4" i="165" s="1"/>
  <c r="G4" i="165"/>
  <c r="C28" i="188"/>
  <c r="C28" i="192"/>
  <c r="K9" i="188" l="1"/>
  <c r="E89" i="192" l="1"/>
  <c r="C29" i="192"/>
  <c r="C30" i="192" s="1"/>
  <c r="C31" i="192" s="1"/>
  <c r="C32" i="192" s="1"/>
  <c r="C33" i="192" s="1"/>
  <c r="C34" i="192" s="1"/>
  <c r="C35" i="192" s="1"/>
  <c r="C36" i="192" s="1"/>
  <c r="C37" i="192" s="1"/>
  <c r="C38" i="192" s="1"/>
  <c r="C39" i="192" s="1"/>
  <c r="C40" i="192" s="1"/>
  <c r="C41" i="192" s="1"/>
  <c r="C42" i="192" s="1"/>
  <c r="C43" i="192" s="1"/>
  <c r="C44" i="192" s="1"/>
  <c r="C45" i="192" s="1"/>
  <c r="C46" i="192" s="1"/>
  <c r="C47" i="192" s="1"/>
  <c r="C48" i="192" s="1"/>
  <c r="C49" i="192" s="1"/>
  <c r="C50" i="192" s="1"/>
  <c r="C51" i="192" s="1"/>
  <c r="C52" i="192" s="1"/>
  <c r="C53" i="192" s="1"/>
  <c r="C54" i="192" s="1"/>
  <c r="C55" i="192" s="1"/>
  <c r="C56" i="192" s="1"/>
  <c r="C57" i="192" s="1"/>
  <c r="C58" i="192" s="1"/>
  <c r="C59" i="192" s="1"/>
  <c r="C60" i="192" s="1"/>
  <c r="C61" i="192" s="1"/>
  <c r="C62" i="192" s="1"/>
  <c r="C63" i="192" s="1"/>
  <c r="C64" i="192" s="1"/>
  <c r="C65" i="192" s="1"/>
  <c r="C66" i="192" s="1"/>
  <c r="C67" i="192" s="1"/>
  <c r="C68" i="192" s="1"/>
  <c r="C69" i="192" s="1"/>
  <c r="C70" i="192" s="1"/>
  <c r="C71" i="192" s="1"/>
  <c r="C72" i="192" s="1"/>
  <c r="C73" i="192" s="1"/>
  <c r="C74" i="192" s="1"/>
  <c r="C75" i="192" s="1"/>
  <c r="C76" i="192" s="1"/>
  <c r="C77" i="192" s="1"/>
  <c r="C78" i="192" s="1"/>
  <c r="C79" i="192" s="1"/>
  <c r="C80" i="192" s="1"/>
  <c r="C81" i="192" s="1"/>
  <c r="C82" i="192" s="1"/>
  <c r="C83" i="192" s="1"/>
  <c r="C84" i="192" s="1"/>
  <c r="C85" i="192" s="1"/>
  <c r="C86" i="192" s="1"/>
  <c r="C87" i="192" s="1"/>
  <c r="C88" i="192" s="1"/>
  <c r="G27" i="192"/>
  <c r="F27" i="192"/>
  <c r="E27" i="192"/>
  <c r="D27" i="192"/>
  <c r="C27" i="192"/>
  <c r="B26" i="192"/>
  <c r="B24" i="192"/>
  <c r="E22" i="192"/>
  <c r="D22" i="192"/>
  <c r="C22" i="192"/>
  <c r="B22" i="192"/>
  <c r="E20" i="192"/>
  <c r="D20" i="192"/>
  <c r="C20" i="192"/>
  <c r="B20" i="192"/>
  <c r="E18" i="192"/>
  <c r="D18" i="192"/>
  <c r="C18" i="192"/>
  <c r="B18" i="192"/>
  <c r="F15" i="192"/>
  <c r="E15" i="192"/>
  <c r="D15" i="192"/>
  <c r="C15" i="192"/>
  <c r="B15" i="192"/>
  <c r="K13" i="192"/>
  <c r="F13" i="192"/>
  <c r="E13" i="192"/>
  <c r="D13" i="192"/>
  <c r="C13" i="192"/>
  <c r="B13" i="192"/>
  <c r="F11" i="192"/>
  <c r="E16" i="192" s="1"/>
  <c r="E11" i="192"/>
  <c r="D11" i="192"/>
  <c r="C11" i="192"/>
  <c r="B11" i="192"/>
  <c r="F9" i="192"/>
  <c r="E9" i="192"/>
  <c r="D9" i="192"/>
  <c r="C9" i="192"/>
  <c r="B9" i="192"/>
  <c r="G3" i="192"/>
  <c r="G2" i="192"/>
  <c r="F2" i="192"/>
  <c r="E2" i="192"/>
  <c r="E3" i="192" l="1"/>
  <c r="G28" i="192" s="1"/>
  <c r="F15" i="188"/>
  <c r="F13" i="188"/>
  <c r="F11" i="188"/>
  <c r="F9" i="188"/>
  <c r="F2" i="188"/>
  <c r="E2" i="188"/>
  <c r="H3" i="192"/>
  <c r="H3" i="188"/>
  <c r="F3" i="192" l="1"/>
  <c r="E17" i="192"/>
  <c r="D42" i="192" s="1"/>
  <c r="H3" i="187"/>
  <c r="F15" i="187"/>
  <c r="F13" i="187"/>
  <c r="F11" i="187"/>
  <c r="B11" i="187"/>
  <c r="E11" i="187"/>
  <c r="D11" i="187"/>
  <c r="C11" i="187"/>
  <c r="D67" i="192" l="1"/>
  <c r="D66" i="192"/>
  <c r="D36" i="192"/>
  <c r="D40" i="192"/>
  <c r="D32" i="192"/>
  <c r="D71" i="192"/>
  <c r="D46" i="192"/>
  <c r="D51" i="192"/>
  <c r="D41" i="192"/>
  <c r="D83" i="192"/>
  <c r="D53" i="192"/>
  <c r="D55" i="192"/>
  <c r="D50" i="192"/>
  <c r="D87" i="192"/>
  <c r="D58" i="192"/>
  <c r="D73" i="192"/>
  <c r="D37" i="192"/>
  <c r="D59" i="192"/>
  <c r="D29" i="192"/>
  <c r="D56" i="192"/>
  <c r="D75" i="192"/>
  <c r="D34" i="192"/>
  <c r="D44" i="192"/>
  <c r="D64" i="192"/>
  <c r="D47" i="192"/>
  <c r="D63" i="192"/>
  <c r="D45" i="192"/>
  <c r="D61" i="192"/>
  <c r="D79" i="192"/>
  <c r="D35" i="192"/>
  <c r="D48" i="192"/>
  <c r="D69" i="192"/>
  <c r="D81" i="192"/>
  <c r="D85" i="192"/>
  <c r="F18" i="192"/>
  <c r="D77" i="192"/>
  <c r="D43" i="192"/>
  <c r="D49" i="192"/>
  <c r="D60" i="192"/>
  <c r="D70" i="192"/>
  <c r="D78" i="192"/>
  <c r="D86" i="192"/>
  <c r="D31" i="192"/>
  <c r="D82" i="192"/>
  <c r="D52" i="192"/>
  <c r="D62" i="192"/>
  <c r="D72" i="192"/>
  <c r="D80" i="192"/>
  <c r="D88" i="192"/>
  <c r="D39" i="192"/>
  <c r="D30" i="192"/>
  <c r="D54" i="192"/>
  <c r="D65" i="192"/>
  <c r="D74" i="192"/>
  <c r="D33" i="192"/>
  <c r="D57" i="192"/>
  <c r="D68" i="192"/>
  <c r="D76" i="192"/>
  <c r="D84" i="192"/>
  <c r="D38" i="192"/>
  <c r="F11" i="189"/>
  <c r="F15" i="189"/>
  <c r="D89" i="192" l="1"/>
  <c r="F7" i="192" s="1"/>
  <c r="F54" i="192" s="1"/>
  <c r="G54" i="192" s="1"/>
  <c r="K44" i="189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F29" i="192" l="1"/>
  <c r="G29" i="192" s="1"/>
  <c r="F53" i="192"/>
  <c r="G53" i="192" s="1"/>
  <c r="F63" i="192"/>
  <c r="G63" i="192" s="1"/>
  <c r="F34" i="192"/>
  <c r="G34" i="192" s="1"/>
  <c r="F80" i="192"/>
  <c r="G80" i="192" s="1"/>
  <c r="F35" i="192"/>
  <c r="G35" i="192" s="1"/>
  <c r="F64" i="192"/>
  <c r="G64" i="192" s="1"/>
  <c r="F47" i="192"/>
  <c r="G47" i="192" s="1"/>
  <c r="F31" i="192"/>
  <c r="G31" i="192" s="1"/>
  <c r="F70" i="192"/>
  <c r="G70" i="192" s="1"/>
  <c r="F69" i="192"/>
  <c r="G69" i="192" s="1"/>
  <c r="F75" i="192"/>
  <c r="G75" i="192" s="1"/>
  <c r="F87" i="192"/>
  <c r="G87" i="192" s="1"/>
  <c r="F65" i="192"/>
  <c r="G65" i="192" s="1"/>
  <c r="F48" i="192"/>
  <c r="G48" i="192" s="1"/>
  <c r="F55" i="192"/>
  <c r="G55" i="192" s="1"/>
  <c r="F85" i="192"/>
  <c r="G85" i="192" s="1"/>
  <c r="F52" i="192"/>
  <c r="G52" i="192" s="1"/>
  <c r="F56" i="192"/>
  <c r="G56" i="192" s="1"/>
  <c r="F81" i="192"/>
  <c r="G81" i="192" s="1"/>
  <c r="F36" i="192"/>
  <c r="G36" i="192" s="1"/>
  <c r="F84" i="192"/>
  <c r="G84" i="192" s="1"/>
  <c r="F61" i="192"/>
  <c r="G61" i="192" s="1"/>
  <c r="F44" i="192"/>
  <c r="G44" i="192" s="1"/>
  <c r="F58" i="192"/>
  <c r="G58" i="192" s="1"/>
  <c r="F82" i="192"/>
  <c r="G82" i="192" s="1"/>
  <c r="F67" i="192"/>
  <c r="G67" i="192" s="1"/>
  <c r="F79" i="192"/>
  <c r="G79" i="192" s="1"/>
  <c r="F49" i="192"/>
  <c r="G49" i="192" s="1"/>
  <c r="F76" i="192"/>
  <c r="G76" i="192" s="1"/>
  <c r="F62" i="192"/>
  <c r="G62" i="192" s="1"/>
  <c r="F39" i="192"/>
  <c r="G39" i="192" s="1"/>
  <c r="F57" i="192"/>
  <c r="G57" i="192" s="1"/>
  <c r="F42" i="192"/>
  <c r="G42" i="192" s="1"/>
  <c r="F74" i="192"/>
  <c r="G74" i="192" s="1"/>
  <c r="F32" i="192"/>
  <c r="G32" i="192" s="1"/>
  <c r="F86" i="192"/>
  <c r="G86" i="192" s="1"/>
  <c r="F78" i="192"/>
  <c r="G78" i="192" s="1"/>
  <c r="F73" i="192"/>
  <c r="G73" i="192" s="1"/>
  <c r="F40" i="192"/>
  <c r="G40" i="192" s="1"/>
  <c r="F38" i="192"/>
  <c r="G38" i="192" s="1"/>
  <c r="F77" i="192"/>
  <c r="G77" i="192" s="1"/>
  <c r="F71" i="192"/>
  <c r="G71" i="192" s="1"/>
  <c r="F66" i="192"/>
  <c r="G66" i="192" s="1"/>
  <c r="F83" i="192"/>
  <c r="G83" i="192" s="1"/>
  <c r="F59" i="192"/>
  <c r="G59" i="192" s="1"/>
  <c r="F43" i="192"/>
  <c r="G43" i="192" s="1"/>
  <c r="F30" i="192"/>
  <c r="G30" i="192" s="1"/>
  <c r="F68" i="192"/>
  <c r="G68" i="192" s="1"/>
  <c r="F37" i="192"/>
  <c r="G37" i="192" s="1"/>
  <c r="F33" i="192"/>
  <c r="G33" i="192" s="1"/>
  <c r="F72" i="192"/>
  <c r="G72" i="192" s="1"/>
  <c r="F45" i="192"/>
  <c r="G45" i="192" s="1"/>
  <c r="F46" i="192"/>
  <c r="G46" i="192" s="1"/>
  <c r="F88" i="192"/>
  <c r="G88" i="192" s="1"/>
  <c r="F41" i="192"/>
  <c r="G41" i="192" s="1"/>
  <c r="F50" i="192"/>
  <c r="G50" i="192" s="1"/>
  <c r="F51" i="192"/>
  <c r="G51" i="192" s="1"/>
  <c r="F60" i="192"/>
  <c r="G60" i="192" s="1"/>
  <c r="E18" i="187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G89" i="192" l="1"/>
  <c r="F20" i="192" s="1"/>
  <c r="F22" i="192" s="1"/>
  <c r="F24" i="192"/>
  <c r="F89" i="192"/>
  <c r="E19" i="187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75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D40" i="187"/>
  <c r="E37" i="187"/>
  <c r="F45" i="187" l="1"/>
  <c r="F41" i="187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<sst xmlns="http://schemas.openxmlformats.org/spreadsheetml/2006/main" count="189" uniqueCount="103">
  <si>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</si>
  <si>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</si>
  <si>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</si>
  <si>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</si>
  <si>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</si>
  <si>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</si>
  <si>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</si>
  <si>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</si>
  <si>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</si>
  <si>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</si>
  <si>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</si>
  <si>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</si>
  <si>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</si>
  <si>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</si>
  <si>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</si>
  <si>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</si>
  <si>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</si>
  <si>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</si>
  <si>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</si>
  <si>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</si>
  <si>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</si>
  <si>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</si>
  <si>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</si>
  <si>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</si>
  <si>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</si>
  <si>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</si>
  <si>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</si>
  <si>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</si>
  <si>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</si>
  <si>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</si>
  <si>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</si>
  <si>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</si>
  <si>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</si>
  <si>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</si>
  <si>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</si>
  <si>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</si>
  <si>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</si>
  <si>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</si>
  <si>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</si>
  <si>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</si>
  <si>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</si>
  <si>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</si>
  <si>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</si>
  <si>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</si>
  <si>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</si>
  <si>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</si>
  <si>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</si>
  <si>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</si>
  <si>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</si>
  <si>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</si>
  <si>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</si>
  <si>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</si>
  <si>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</si>
  <si>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</si>
  <si>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</si>
  <si>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</si>
  <si>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</si>
  <si>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</si>
  <si>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</si>
  <si>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</si>
  <si>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</si>
  <si>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</si>
  <si>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</si>
  <si>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</si>
  <si>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</si>
  <si>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</si>
  <si>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</si>
  <si>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</si>
  <si>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</si>
  <si>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</si>
  <si>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</si>
  <si>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</si>
  <si>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</si>
  <si>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</si>
  <si>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</si>
  <si>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</si>
  <si>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</si>
  <si>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</si>
  <si>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</si>
  <si>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</si>
  <si>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</si>
  <si>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</si>
  <si>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</si>
  <si>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</si>
  <si>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</si>
  <si>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</si>
  <si>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</si>
  <si>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</si>
  <si>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</si>
  <si>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</si>
  <si>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</si>
  <si>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</si>
  <si>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</si>
  <si>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</si>
  <si>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</si>
  <si>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Позитив Нестандарт 60 міс.</t>
  </si>
  <si>
    <t>Позитив Нестандарт 36 міс.</t>
  </si>
  <si>
    <t>Позитив Нестандарт 24 міс.</t>
  </si>
  <si>
    <t>Позитив Нестандарт 12 міс.</t>
  </si>
  <si>
    <t>Позитив Нестандарт СК, 60 міс.</t>
  </si>
  <si>
    <t>Позитив Нестандарт СК, 36 міс.</t>
  </si>
  <si>
    <t>Позитив Нестандарт СК, 24 міс.</t>
  </si>
  <si>
    <t>Позитив Нестандарт СК,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</si>
</sst>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38100</xdr:rowOff>
    </xdr:from>
    <xdr:to>
      <xdr:col>3</xdr:col>
      <xdr:colOff>276224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4" y="38100"/>
          <a:ext cx="1685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333375</xdr:colOff>
      <xdr:row>3</xdr:row>
      <xdr:rowOff>85725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0"/>
          <a:ext cx="1743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25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45915</v>
      </c>
      <c r="H2" s="249" t="s">
        <v>68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45915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45945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45976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46006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46037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46068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46096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46127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46157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46188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46218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46249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46280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46310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46341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46371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46402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46433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46461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46492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46522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46553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46583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46614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46645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46675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46706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46736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46767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46798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46827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46858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46888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46919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46949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46980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47011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47041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47072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47102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47133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47164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47192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47223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47253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47284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47314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47345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47376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47406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47437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47467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47498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47529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47557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47588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47618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47649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47679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47710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47741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45915</v>
      </c>
      <c r="H2" s="249" t="s">
        <v>67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45915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45945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43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45976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46006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46037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46068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46096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46127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46157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46188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46218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46249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46280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46310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ref="G44:G61" si="6">D44+E44+F44</f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46341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6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46371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6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46402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6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46433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6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46461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6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46492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6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46522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6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46553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6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46583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6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46614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6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46645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6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46675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6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46706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6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46736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6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46767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6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46798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6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46827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6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46858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ref="G62:G67" si="7">D62+E62+F62</f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46888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7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46919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7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46949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7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46980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7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47011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7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47041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ref="G68:G81" si="8">D68+E68+F68</f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47072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8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47102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8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47133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8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47164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8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47192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8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47223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8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47253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8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47284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8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47314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8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47345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8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47376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8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47406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8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47437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8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47467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ref="G82:G91" si="9">D82+E82+F82</f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47498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9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47529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9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47557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9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47588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9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47618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9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47649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9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47679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9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47710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9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47741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9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45915</v>
      </c>
      <c r="H2" s="249" t="s">
        <v>66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45915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45945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45976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46006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46037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46068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46096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46127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46157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46188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46218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46249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46280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46310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46341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46371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46402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46433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46461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46492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46522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46553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46583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46614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46645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46675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46706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46736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46767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46798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46827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46858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46888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46919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46949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46980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47011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47041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47072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47102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47133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47164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47192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47223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47253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47284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47314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47345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47376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47406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47437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47467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47498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47529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47557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47588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47618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47649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47679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47710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47741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45915</v>
      </c>
      <c r="H2" s="249" t="s">
        <v>69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Позитив Нестандарт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Позитив Нестандарт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str">
        <f>Лист2!A8</f>
        <v>Позитив Нестандарт СК, 60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45915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45945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45976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46006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46037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46068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46096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46127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46157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46188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46218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46249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46280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46310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46341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46371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46402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46433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46461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46492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46522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46553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46583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46614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">
      <c r="A52" s="60"/>
      <c r="B52" s="128">
        <v>24</v>
      </c>
      <c r="C52" s="132">
        <f t="shared" ca="1" si="0"/>
        <v>46645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">
      <c r="A53" s="60"/>
      <c r="B53" s="128">
        <v>25</v>
      </c>
      <c r="C53" s="132">
        <f t="shared" ca="1" si="0"/>
        <v>46675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">
      <c r="A54" s="60"/>
      <c r="B54" s="128">
        <v>26</v>
      </c>
      <c r="C54" s="132">
        <f t="shared" ca="1" si="0"/>
        <v>46706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">
      <c r="A55" s="60"/>
      <c r="B55" s="128">
        <v>27</v>
      </c>
      <c r="C55" s="132">
        <f t="shared" ca="1" si="0"/>
        <v>46736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">
      <c r="A56" s="60"/>
      <c r="B56" s="128">
        <v>28</v>
      </c>
      <c r="C56" s="132">
        <f t="shared" ca="1" si="0"/>
        <v>46767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">
      <c r="A57" s="60"/>
      <c r="B57" s="128">
        <v>29</v>
      </c>
      <c r="C57" s="132">
        <f t="shared" ca="1" si="0"/>
        <v>46798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46827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46858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46888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46919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46949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46980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47011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47041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47072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47102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47133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47164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47192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47223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47253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47284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47314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47345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47376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47406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47437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47467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47498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47529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47557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47588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47618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47649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47679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47710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47741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45915</v>
      </c>
      <c r="H2" s="249" t="s">
        <v>89</v>
      </c>
      <c r="I2" s="250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VLOOKUP(H$2,Лист2!$A:$G,8,0)</f>
        <v>#N/A</v>
      </c>
      <c r="I3" s="254"/>
      <c r="J3" s="50"/>
    </row>
    <row r="4" spans="1:14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14" ht="21" customHeight="1" thickBot="1" x14ac:dyDescent="0.25">
      <c r="A5" s="1"/>
      <c r="B5" s="283" t="s">
        <v>82</v>
      </c>
      <c r="C5" s="284"/>
      <c r="D5" s="284"/>
      <c r="E5" s="285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58" t="s">
        <v>81</v>
      </c>
      <c r="C7" s="259"/>
      <c r="D7" s="259"/>
      <c r="E7" s="260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58" t="str">
        <f>Назви!A5</f>
        <v>Процентна ставка знижена, % річних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58" t="str">
        <f>Назви!A7</f>
        <v>Разовий страховий тариф, %</v>
      </c>
      <c r="C13" s="259">
        <f>Назви!B7</f>
        <v>0</v>
      </c>
      <c r="D13" s="259">
        <f>Назви!C7</f>
        <v>0</v>
      </c>
      <c r="E13" s="260">
        <f>Назви!D7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58" t="str">
        <f>Назви!A9</f>
        <v xml:space="preserve">Щомісячна плата за обслуговування кредитної заборгованості, % </v>
      </c>
      <c r="C15" s="259">
        <f>Назви!B9</f>
        <v>0</v>
      </c>
      <c r="D15" s="259">
        <f>Назви!C9</f>
        <v>0</v>
      </c>
      <c r="E15" s="260">
        <f>Назви!D9</f>
        <v>0</v>
      </c>
      <c r="F15" s="38" t="e">
        <f>VLOOKUP(H$2,Лист2!$A:$G,7,0)</f>
        <v>#N/A</v>
      </c>
      <c r="G15" s="286"/>
      <c r="H15" s="286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58" t="str">
        <f>Назви!A11</f>
        <v>Термін кредитування (міс.)</v>
      </c>
      <c r="C17" s="259">
        <f>Назви!B11</f>
        <v>0</v>
      </c>
      <c r="D17" s="259">
        <f>Назви!C11</f>
        <v>0</v>
      </c>
      <c r="E17" s="260">
        <f>Назви!D11</f>
        <v>0</v>
      </c>
      <c r="F17" s="64" t="e">
        <f>VLOOKUP(H$2,Лист2!$A:$G,3,0)</f>
        <v>#N/A</v>
      </c>
      <c r="G17" s="286"/>
      <c r="H17" s="286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Назви!A14</f>
        <v>Орієнтовний платіж, грн.</v>
      </c>
      <c r="C20" s="262">
        <f>Назви!B14</f>
        <v>0</v>
      </c>
      <c r="D20" s="262">
        <f>Назви!C14</f>
        <v>0</v>
      </c>
      <c r="E20" s="263">
        <f>Назви!D14</f>
        <v>0</v>
      </c>
      <c r="F20" s="13" t="e">
        <f>PMT(F9/12,F17,-E19)+F15*E19</f>
        <v>#N/A</v>
      </c>
      <c r="G20" s="289"/>
      <c r="H20" s="290"/>
      <c r="I20" s="133"/>
      <c r="J20" s="52"/>
      <c r="K20" s="162" t="str">
        <f>Лист2!A5</f>
        <v>Позитив Нестандарт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Позитив Нестандарт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Назви!A16</f>
        <v>Орієнтовні загальні витрати за кредитом, грн.</v>
      </c>
      <c r="C22" s="262">
        <f>Назви!B16</f>
        <v>0</v>
      </c>
      <c r="D22" s="262">
        <f>Назви!C16</f>
        <v>0</v>
      </c>
      <c r="E22" s="263">
        <f>Назви!D16</f>
        <v>0</v>
      </c>
      <c r="F22" s="13" t="e">
        <f>F91-E3</f>
        <v>#N/A</v>
      </c>
      <c r="G22" s="291"/>
      <c r="H22" s="291"/>
      <c r="I22" s="1"/>
      <c r="J22" s="53"/>
      <c r="K22" s="162" t="str">
        <f>Лист2!A8</f>
        <v>Позитив Нестандарт СК, 60 міс.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Назви!A18</f>
        <v>Орієнтовна загальна вартість кредиту, грн.</v>
      </c>
      <c r="C24" s="262">
        <f>Назви!B18</f>
        <v>0</v>
      </c>
      <c r="D24" s="262">
        <f>Назви!C18</f>
        <v>0</v>
      </c>
      <c r="E24" s="263">
        <f>Назви!D18</f>
        <v>0</v>
      </c>
      <c r="F24" s="13" t="e">
        <f>E3+F22</f>
        <v>#N/A</v>
      </c>
      <c r="G24" s="286"/>
      <c r="H24" s="286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61" t="str">
        <f>Назви!A20</f>
        <v>Реальна річна процентна ставка, %</v>
      </c>
      <c r="C26" s="262"/>
      <c r="D26" s="262"/>
      <c r="E26" s="263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68" t="str">
        <f>Назви!A29</f>
        <v>Орієнтовний порядок повернення кредиту</v>
      </c>
      <c r="C28" s="269"/>
      <c r="D28" s="269"/>
      <c r="E28" s="269"/>
      <c r="F28" s="269"/>
      <c r="G28" s="27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71" t="str">
        <f>Назви!F30</f>
        <v>Сума платежу за розрахунковий період, грн.</v>
      </c>
      <c r="G29" s="27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45915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45945</v>
      </c>
      <c r="D31" s="193">
        <f>IFERROR(PPMT($F$9/12,B31,$F$17,-$E$19),0)</f>
        <v>0</v>
      </c>
      <c r="E31" s="194">
        <f>IFERROR(IPMT($F$9/12,B31,$F$17,-$F$7),0)</f>
        <v>0</v>
      </c>
      <c r="F31" s="292">
        <f t="shared" ref="F31:F62" si="0">SUM(D31:E31)</f>
        <v>0</v>
      </c>
      <c r="G31" s="292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45976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92">
        <f t="shared" si="0"/>
        <v>0</v>
      </c>
      <c r="G32" s="292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46006</v>
      </c>
      <c r="D33" s="195">
        <f t="shared" si="2"/>
        <v>0</v>
      </c>
      <c r="E33" s="197">
        <f>IFERROR(IPMT($F$9/12,B33,$F$17,-$F$7),0)</f>
        <v>0</v>
      </c>
      <c r="F33" s="292">
        <f t="shared" si="0"/>
        <v>0</v>
      </c>
      <c r="G33" s="292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46037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92">
        <f t="shared" si="0"/>
        <v>0</v>
      </c>
      <c r="G34" s="292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46068</v>
      </c>
      <c r="D35" s="195">
        <f t="shared" ref="D35:D48" si="4">IFERROR(PPMT($F$11/12,(B35-3),($F$17-3),-$F$8),0)</f>
        <v>0</v>
      </c>
      <c r="E35" s="197">
        <f t="shared" si="3"/>
        <v>0</v>
      </c>
      <c r="F35" s="292">
        <f t="shared" si="0"/>
        <v>0</v>
      </c>
      <c r="G35" s="292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46096</v>
      </c>
      <c r="D36" s="195">
        <f t="shared" si="4"/>
        <v>0</v>
      </c>
      <c r="E36" s="197">
        <f t="shared" si="3"/>
        <v>0</v>
      </c>
      <c r="F36" s="292">
        <f t="shared" si="0"/>
        <v>0</v>
      </c>
      <c r="G36" s="292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46127</v>
      </c>
      <c r="D37" s="195">
        <f t="shared" si="4"/>
        <v>0</v>
      </c>
      <c r="E37" s="197">
        <f t="shared" si="3"/>
        <v>0</v>
      </c>
      <c r="F37" s="292">
        <f t="shared" si="0"/>
        <v>0</v>
      </c>
      <c r="G37" s="292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46157</v>
      </c>
      <c r="D38" s="195">
        <f t="shared" si="4"/>
        <v>0</v>
      </c>
      <c r="E38" s="197">
        <f t="shared" si="3"/>
        <v>0</v>
      </c>
      <c r="F38" s="292">
        <f t="shared" si="0"/>
        <v>0</v>
      </c>
      <c r="G38" s="292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46188</v>
      </c>
      <c r="D39" s="195">
        <f t="shared" si="4"/>
        <v>0</v>
      </c>
      <c r="E39" s="197">
        <f t="shared" si="3"/>
        <v>0</v>
      </c>
      <c r="F39" s="292">
        <f t="shared" si="0"/>
        <v>0</v>
      </c>
      <c r="G39" s="292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46218</v>
      </c>
      <c r="D40" s="195">
        <f t="shared" si="4"/>
        <v>0</v>
      </c>
      <c r="E40" s="197">
        <f t="shared" si="3"/>
        <v>0</v>
      </c>
      <c r="F40" s="292">
        <f t="shared" si="0"/>
        <v>0</v>
      </c>
      <c r="G40" s="292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46249</v>
      </c>
      <c r="D41" s="195">
        <f t="shared" si="4"/>
        <v>0</v>
      </c>
      <c r="E41" s="197">
        <f t="shared" si="3"/>
        <v>0</v>
      </c>
      <c r="F41" s="292">
        <f t="shared" si="0"/>
        <v>0</v>
      </c>
      <c r="G41" s="292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46280</v>
      </c>
      <c r="D42" s="195">
        <f t="shared" si="4"/>
        <v>0</v>
      </c>
      <c r="E42" s="197">
        <f t="shared" si="3"/>
        <v>0</v>
      </c>
      <c r="F42" s="292">
        <f t="shared" si="0"/>
        <v>0</v>
      </c>
      <c r="G42" s="292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46310</v>
      </c>
      <c r="D43" s="195">
        <f t="shared" si="4"/>
        <v>0</v>
      </c>
      <c r="E43" s="197">
        <f t="shared" si="3"/>
        <v>0</v>
      </c>
      <c r="F43" s="292">
        <f t="shared" si="0"/>
        <v>0</v>
      </c>
      <c r="G43" s="292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46341</v>
      </c>
      <c r="D44" s="195">
        <f t="shared" si="4"/>
        <v>0</v>
      </c>
      <c r="E44" s="197">
        <f t="shared" si="3"/>
        <v>0</v>
      </c>
      <c r="F44" s="292">
        <f t="shared" si="0"/>
        <v>0</v>
      </c>
      <c r="G44" s="292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46371</v>
      </c>
      <c r="D45" s="195">
        <f t="shared" si="4"/>
        <v>0</v>
      </c>
      <c r="E45" s="197">
        <f t="shared" si="3"/>
        <v>0</v>
      </c>
      <c r="F45" s="292">
        <f t="shared" si="0"/>
        <v>0</v>
      </c>
      <c r="G45" s="292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46402</v>
      </c>
      <c r="D46" s="195">
        <f t="shared" si="4"/>
        <v>0</v>
      </c>
      <c r="E46" s="197">
        <f t="shared" si="3"/>
        <v>0</v>
      </c>
      <c r="F46" s="292">
        <f t="shared" si="0"/>
        <v>0</v>
      </c>
      <c r="G46" s="292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46433</v>
      </c>
      <c r="D47" s="195">
        <f t="shared" si="4"/>
        <v>0</v>
      </c>
      <c r="E47" s="197">
        <f t="shared" si="3"/>
        <v>0</v>
      </c>
      <c r="F47" s="292">
        <f t="shared" si="0"/>
        <v>0</v>
      </c>
      <c r="G47" s="292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46461</v>
      </c>
      <c r="D48" s="195">
        <f t="shared" si="4"/>
        <v>0</v>
      </c>
      <c r="E48" s="197">
        <f t="shared" si="3"/>
        <v>0</v>
      </c>
      <c r="F48" s="292">
        <f t="shared" si="0"/>
        <v>0</v>
      </c>
      <c r="G48" s="292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46492</v>
      </c>
      <c r="D49" s="195">
        <f t="shared" si="2"/>
        <v>0</v>
      </c>
      <c r="E49" s="197">
        <f t="shared" ref="E49:E90" si="5">IFERROR(IPMT($F$9/12,B49,$F$17,-$F$7),0)</f>
        <v>0</v>
      </c>
      <c r="F49" s="292">
        <f t="shared" si="0"/>
        <v>0</v>
      </c>
      <c r="G49" s="292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46522</v>
      </c>
      <c r="D50" s="195">
        <f t="shared" si="2"/>
        <v>0</v>
      </c>
      <c r="E50" s="197">
        <f t="shared" si="5"/>
        <v>0</v>
      </c>
      <c r="F50" s="292">
        <f t="shared" si="0"/>
        <v>0</v>
      </c>
      <c r="G50" s="292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46553</v>
      </c>
      <c r="D51" s="195">
        <f t="shared" si="2"/>
        <v>0</v>
      </c>
      <c r="E51" s="197">
        <f t="shared" si="5"/>
        <v>0</v>
      </c>
      <c r="F51" s="292">
        <f t="shared" si="0"/>
        <v>0</v>
      </c>
      <c r="G51" s="292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46583</v>
      </c>
      <c r="D52" s="195">
        <f t="shared" si="2"/>
        <v>0</v>
      </c>
      <c r="E52" s="197">
        <f t="shared" si="5"/>
        <v>0</v>
      </c>
      <c r="F52" s="292">
        <f t="shared" si="0"/>
        <v>0</v>
      </c>
      <c r="G52" s="292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46614</v>
      </c>
      <c r="D53" s="195">
        <f t="shared" si="2"/>
        <v>0</v>
      </c>
      <c r="E53" s="197">
        <f t="shared" si="5"/>
        <v>0</v>
      </c>
      <c r="F53" s="292">
        <f t="shared" si="0"/>
        <v>0</v>
      </c>
      <c r="G53" s="292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46645</v>
      </c>
      <c r="D54" s="195">
        <f t="shared" si="2"/>
        <v>0</v>
      </c>
      <c r="E54" s="197">
        <f t="shared" si="5"/>
        <v>0</v>
      </c>
      <c r="F54" s="292">
        <f t="shared" si="0"/>
        <v>0</v>
      </c>
      <c r="G54" s="292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46675</v>
      </c>
      <c r="D55" s="195">
        <f t="shared" si="2"/>
        <v>0</v>
      </c>
      <c r="E55" s="197">
        <f t="shared" si="5"/>
        <v>0</v>
      </c>
      <c r="F55" s="292">
        <f t="shared" si="0"/>
        <v>0</v>
      </c>
      <c r="G55" s="292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46706</v>
      </c>
      <c r="D56" s="195">
        <f t="shared" si="2"/>
        <v>0</v>
      </c>
      <c r="E56" s="197">
        <f t="shared" si="5"/>
        <v>0</v>
      </c>
      <c r="F56" s="292">
        <f t="shared" si="0"/>
        <v>0</v>
      </c>
      <c r="G56" s="292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46736</v>
      </c>
      <c r="D57" s="195">
        <f t="shared" si="2"/>
        <v>0</v>
      </c>
      <c r="E57" s="197">
        <f t="shared" si="5"/>
        <v>0</v>
      </c>
      <c r="F57" s="292">
        <f t="shared" si="0"/>
        <v>0</v>
      </c>
      <c r="G57" s="292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46767</v>
      </c>
      <c r="D58" s="195">
        <f t="shared" si="2"/>
        <v>0</v>
      </c>
      <c r="E58" s="197">
        <f t="shared" si="5"/>
        <v>0</v>
      </c>
      <c r="F58" s="292">
        <f t="shared" si="0"/>
        <v>0</v>
      </c>
      <c r="G58" s="292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46798</v>
      </c>
      <c r="D59" s="195">
        <f t="shared" si="2"/>
        <v>0</v>
      </c>
      <c r="E59" s="197">
        <f t="shared" si="5"/>
        <v>0</v>
      </c>
      <c r="F59" s="292">
        <f t="shared" si="0"/>
        <v>0</v>
      </c>
      <c r="G59" s="292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46827</v>
      </c>
      <c r="D60" s="195">
        <f t="shared" si="2"/>
        <v>0</v>
      </c>
      <c r="E60" s="197">
        <f t="shared" si="5"/>
        <v>0</v>
      </c>
      <c r="F60" s="292">
        <f t="shared" si="0"/>
        <v>0</v>
      </c>
      <c r="G60" s="292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46858</v>
      </c>
      <c r="D61" s="195">
        <f t="shared" si="2"/>
        <v>0</v>
      </c>
      <c r="E61" s="197">
        <f t="shared" si="5"/>
        <v>0</v>
      </c>
      <c r="F61" s="292">
        <f t="shared" si="0"/>
        <v>0</v>
      </c>
      <c r="G61" s="292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46888</v>
      </c>
      <c r="D62" s="195">
        <f t="shared" si="2"/>
        <v>0</v>
      </c>
      <c r="E62" s="197">
        <f t="shared" si="5"/>
        <v>0</v>
      </c>
      <c r="F62" s="292">
        <f t="shared" si="0"/>
        <v>0</v>
      </c>
      <c r="G62" s="292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46919</v>
      </c>
      <c r="D63" s="195">
        <f t="shared" si="2"/>
        <v>0</v>
      </c>
      <c r="E63" s="197">
        <f t="shared" si="5"/>
        <v>0</v>
      </c>
      <c r="F63" s="292">
        <f t="shared" ref="F63:F90" si="6">SUM(D63:E63)</f>
        <v>0</v>
      </c>
      <c r="G63" s="292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46949</v>
      </c>
      <c r="D64" s="195">
        <f t="shared" si="2"/>
        <v>0</v>
      </c>
      <c r="E64" s="197">
        <f t="shared" si="5"/>
        <v>0</v>
      </c>
      <c r="F64" s="292">
        <f t="shared" si="6"/>
        <v>0</v>
      </c>
      <c r="G64" s="292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46980</v>
      </c>
      <c r="D65" s="195">
        <f t="shared" si="2"/>
        <v>0</v>
      </c>
      <c r="E65" s="197">
        <f t="shared" si="5"/>
        <v>0</v>
      </c>
      <c r="F65" s="292">
        <f t="shared" si="6"/>
        <v>0</v>
      </c>
      <c r="G65" s="292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47011</v>
      </c>
      <c r="D66" s="195">
        <f t="shared" si="2"/>
        <v>0</v>
      </c>
      <c r="E66" s="197">
        <f t="shared" si="5"/>
        <v>0</v>
      </c>
      <c r="F66" s="292">
        <f t="shared" si="6"/>
        <v>0</v>
      </c>
      <c r="G66" s="292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47041</v>
      </c>
      <c r="D67" s="195">
        <f t="shared" si="2"/>
        <v>0</v>
      </c>
      <c r="E67" s="197">
        <f t="shared" si="5"/>
        <v>0</v>
      </c>
      <c r="F67" s="292">
        <f t="shared" si="6"/>
        <v>0</v>
      </c>
      <c r="G67" s="292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47072</v>
      </c>
      <c r="D68" s="195">
        <f t="shared" si="2"/>
        <v>0</v>
      </c>
      <c r="E68" s="197">
        <f t="shared" si="5"/>
        <v>0</v>
      </c>
      <c r="F68" s="292">
        <f t="shared" si="6"/>
        <v>0</v>
      </c>
      <c r="G68" s="292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47102</v>
      </c>
      <c r="D69" s="195">
        <f t="shared" si="2"/>
        <v>0</v>
      </c>
      <c r="E69" s="197">
        <f t="shared" si="5"/>
        <v>0</v>
      </c>
      <c r="F69" s="292">
        <f t="shared" si="6"/>
        <v>0</v>
      </c>
      <c r="G69" s="292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47133</v>
      </c>
      <c r="D70" s="195">
        <f t="shared" si="2"/>
        <v>0</v>
      </c>
      <c r="E70" s="197">
        <f t="shared" si="5"/>
        <v>0</v>
      </c>
      <c r="F70" s="292">
        <f t="shared" si="6"/>
        <v>0</v>
      </c>
      <c r="G70" s="292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47164</v>
      </c>
      <c r="D71" s="195">
        <f t="shared" si="2"/>
        <v>0</v>
      </c>
      <c r="E71" s="197">
        <f t="shared" si="5"/>
        <v>0</v>
      </c>
      <c r="F71" s="292">
        <f t="shared" si="6"/>
        <v>0</v>
      </c>
      <c r="G71" s="292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47192</v>
      </c>
      <c r="D72" s="195">
        <f t="shared" si="2"/>
        <v>0</v>
      </c>
      <c r="E72" s="197">
        <f t="shared" si="5"/>
        <v>0</v>
      </c>
      <c r="F72" s="292">
        <f t="shared" si="6"/>
        <v>0</v>
      </c>
      <c r="G72" s="292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47223</v>
      </c>
      <c r="D73" s="195">
        <f t="shared" si="2"/>
        <v>0</v>
      </c>
      <c r="E73" s="197">
        <f t="shared" si="5"/>
        <v>0</v>
      </c>
      <c r="F73" s="292">
        <f t="shared" si="6"/>
        <v>0</v>
      </c>
      <c r="G73" s="292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47253</v>
      </c>
      <c r="D74" s="195">
        <f t="shared" si="2"/>
        <v>0</v>
      </c>
      <c r="E74" s="197">
        <f t="shared" si="5"/>
        <v>0</v>
      </c>
      <c r="F74" s="292">
        <f t="shared" si="6"/>
        <v>0</v>
      </c>
      <c r="G74" s="292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47284</v>
      </c>
      <c r="D75" s="195">
        <f t="shared" si="2"/>
        <v>0</v>
      </c>
      <c r="E75" s="197">
        <f t="shared" si="5"/>
        <v>0</v>
      </c>
      <c r="F75" s="292">
        <f t="shared" si="6"/>
        <v>0</v>
      </c>
      <c r="G75" s="292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47314</v>
      </c>
      <c r="D76" s="195">
        <f t="shared" si="2"/>
        <v>0</v>
      </c>
      <c r="E76" s="197">
        <f t="shared" si="5"/>
        <v>0</v>
      </c>
      <c r="F76" s="292">
        <f t="shared" si="6"/>
        <v>0</v>
      </c>
      <c r="G76" s="292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47345</v>
      </c>
      <c r="D77" s="195">
        <f t="shared" si="2"/>
        <v>0</v>
      </c>
      <c r="E77" s="197">
        <f t="shared" si="5"/>
        <v>0</v>
      </c>
      <c r="F77" s="292">
        <f t="shared" si="6"/>
        <v>0</v>
      </c>
      <c r="G77" s="292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47376</v>
      </c>
      <c r="D78" s="195">
        <f t="shared" si="2"/>
        <v>0</v>
      </c>
      <c r="E78" s="197">
        <f t="shared" si="5"/>
        <v>0</v>
      </c>
      <c r="F78" s="292">
        <f t="shared" si="6"/>
        <v>0</v>
      </c>
      <c r="G78" s="292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47406</v>
      </c>
      <c r="D79" s="195">
        <f t="shared" si="2"/>
        <v>0</v>
      </c>
      <c r="E79" s="197">
        <f t="shared" si="5"/>
        <v>0</v>
      </c>
      <c r="F79" s="292">
        <f t="shared" si="6"/>
        <v>0</v>
      </c>
      <c r="G79" s="292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47437</v>
      </c>
      <c r="D80" s="195">
        <f t="shared" si="2"/>
        <v>0</v>
      </c>
      <c r="E80" s="197">
        <f t="shared" si="5"/>
        <v>0</v>
      </c>
      <c r="F80" s="292">
        <f t="shared" si="6"/>
        <v>0</v>
      </c>
      <c r="G80" s="292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47467</v>
      </c>
      <c r="D81" s="195">
        <f t="shared" si="2"/>
        <v>0</v>
      </c>
      <c r="E81" s="197">
        <f t="shared" si="5"/>
        <v>0</v>
      </c>
      <c r="F81" s="292">
        <f t="shared" si="6"/>
        <v>0</v>
      </c>
      <c r="G81" s="292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47498</v>
      </c>
      <c r="D82" s="195">
        <f t="shared" si="2"/>
        <v>0</v>
      </c>
      <c r="E82" s="197">
        <f t="shared" si="5"/>
        <v>0</v>
      </c>
      <c r="F82" s="292">
        <f t="shared" si="6"/>
        <v>0</v>
      </c>
      <c r="G82" s="292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47529</v>
      </c>
      <c r="D83" s="195">
        <f t="shared" si="2"/>
        <v>0</v>
      </c>
      <c r="E83" s="197">
        <f t="shared" si="5"/>
        <v>0</v>
      </c>
      <c r="F83" s="292">
        <f t="shared" si="6"/>
        <v>0</v>
      </c>
      <c r="G83" s="292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47557</v>
      </c>
      <c r="D84" s="195">
        <f t="shared" si="2"/>
        <v>0</v>
      </c>
      <c r="E84" s="197">
        <f t="shared" si="5"/>
        <v>0</v>
      </c>
      <c r="F84" s="292">
        <f t="shared" si="6"/>
        <v>0</v>
      </c>
      <c r="G84" s="292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47588</v>
      </c>
      <c r="D85" s="195">
        <f t="shared" si="2"/>
        <v>0</v>
      </c>
      <c r="E85" s="197">
        <f t="shared" si="5"/>
        <v>0</v>
      </c>
      <c r="F85" s="292">
        <f t="shared" si="6"/>
        <v>0</v>
      </c>
      <c r="G85" s="292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47618</v>
      </c>
      <c r="D86" s="195">
        <f t="shared" si="2"/>
        <v>0</v>
      </c>
      <c r="E86" s="197">
        <f t="shared" si="5"/>
        <v>0</v>
      </c>
      <c r="F86" s="292">
        <f t="shared" si="6"/>
        <v>0</v>
      </c>
      <c r="G86" s="292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47649</v>
      </c>
      <c r="D87" s="195">
        <f t="shared" si="2"/>
        <v>0</v>
      </c>
      <c r="E87" s="197">
        <f t="shared" si="5"/>
        <v>0</v>
      </c>
      <c r="F87" s="292">
        <f t="shared" si="6"/>
        <v>0</v>
      </c>
      <c r="G87" s="292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47679</v>
      </c>
      <c r="D88" s="195">
        <f t="shared" si="2"/>
        <v>0</v>
      </c>
      <c r="E88" s="197">
        <f t="shared" si="5"/>
        <v>0</v>
      </c>
      <c r="F88" s="292">
        <f t="shared" si="6"/>
        <v>0</v>
      </c>
      <c r="G88" s="292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47710</v>
      </c>
      <c r="D89" s="195">
        <f t="shared" si="2"/>
        <v>0</v>
      </c>
      <c r="E89" s="197">
        <f t="shared" si="5"/>
        <v>0</v>
      </c>
      <c r="F89" s="292">
        <f t="shared" si="6"/>
        <v>0</v>
      </c>
      <c r="G89" s="292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47741</v>
      </c>
      <c r="D90" s="195">
        <f t="shared" si="2"/>
        <v>0</v>
      </c>
      <c r="E90" s="200">
        <f t="shared" si="5"/>
        <v>0</v>
      </c>
      <c r="F90" s="296">
        <f t="shared" si="6"/>
        <v>0</v>
      </c>
      <c r="G90" s="296"/>
      <c r="H90" s="134"/>
      <c r="I90" s="134"/>
      <c r="J90" s="4"/>
      <c r="L90" s="122"/>
      <c r="AC90" s="4"/>
    </row>
    <row r="91" spans="1:29" ht="16.5" thickBot="1" x14ac:dyDescent="0.25">
      <c r="A91" s="60"/>
      <c r="B91" s="275" t="s">
        <v>3</v>
      </c>
      <c r="C91" s="293"/>
      <c r="D91" s="202">
        <f>SUM(D31:D90)</f>
        <v>0</v>
      </c>
      <c r="E91" s="202">
        <f>SUM(E31:E90)</f>
        <v>0</v>
      </c>
      <c r="F91" s="294">
        <f>SUM(F31:G90)</f>
        <v>0</v>
      </c>
      <c r="G91" s="295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79" t="s">
        <v>5</v>
      </c>
      <c r="F93" s="279"/>
      <c r="G93" s="279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5.140625" style="4" hidden="1" customWidth="1" outlineLevel="1"/>
    <col min="12" max="12" width="8.710937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>
        <f>VLOOKUP(Позитив_Нестандарт!H2,Лист2!A:O,14,FALSE)</f>
        <v>5000</v>
      </c>
      <c r="F2" s="126">
        <f>VLOOKUP(H$2,Лист2!$A:$H,2,0)</f>
        <v>500000</v>
      </c>
      <c r="G2" s="185">
        <f ca="1">TODAY()</f>
        <v>45915</v>
      </c>
      <c r="H2" s="249" t="s">
        <v>97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51" t="str">
        <f>IF(E3="x","Збільшіть суму",IF(E3="y","Зменшіть суму",""))</f>
        <v/>
      </c>
      <c r="G3" s="77">
        <f>Назви!B35</f>
        <v>30.4</v>
      </c>
      <c r="H3" s="253" t="str">
        <f>VLOOKUP(H$2,Лист2!$A:$H,7,0)</f>
        <v>max. 500000 грн.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>
        <f>D89</f>
        <v>99999.999999999971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>
        <f>VLOOKUP(H$2,Лист2!$A:$H,4,0)</f>
        <v>0.79990000000000006</v>
      </c>
      <c r="G9" s="286"/>
      <c r="H9" s="286"/>
      <c r="I9" s="3"/>
      <c r="J9" s="51"/>
      <c r="K9" s="162" t="str">
        <f>Лист2!A4</f>
        <v>Позитив Нестандарт 60 міс.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Позитив Нестандарт 36 міс.</v>
      </c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>
        <f>VLOOKUP(H$2,Лист2!$A:$H,5,0)</f>
        <v>0</v>
      </c>
      <c r="G11" s="286"/>
      <c r="H11" s="286"/>
      <c r="I11" s="3"/>
      <c r="J11" s="51"/>
      <c r="K11" s="162" t="str">
        <f>Лист2!A6</f>
        <v>Позитив Нестандарт 24 міс.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Позитив Нестандарт 12 міс.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>
        <f>VLOOKUP(H$2,Лист2!$A:$H,6,0)</f>
        <v>0</v>
      </c>
      <c r="G13" s="286"/>
      <c r="H13" s="286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>
        <f>VLOOKUP(H$2,Лист2!$A:$H,3,0)</f>
        <v>24</v>
      </c>
      <c r="G15" s="286"/>
      <c r="H15" s="286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100000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>
        <f>PMT(F9/12,F15,-E17)+F13*E17</f>
        <v>8464.7245140333034</v>
      </c>
      <c r="G18" s="289"/>
      <c r="H18" s="290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>
        <f>G89-E3</f>
        <v>103153.38833679917</v>
      </c>
      <c r="G20" s="291"/>
      <c r="H20" s="291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>
        <f>F7+F20</f>
        <v>203153.38833679914</v>
      </c>
      <c r="G22" s="286"/>
      <c r="H22" s="286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>
        <f ca="1">XIRR(G28:G88,C28:C88)</f>
        <v>1.1715558886528017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45915</v>
      </c>
      <c r="D28" s="113"/>
      <c r="E28" s="114"/>
      <c r="F28" s="113"/>
      <c r="G28" s="287">
        <f>-1*E3</f>
        <v>-100000</v>
      </c>
      <c r="H28" s="28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45945</v>
      </c>
      <c r="D29" s="207">
        <f>IFERROR(PPMT($F$9/12,B29,$F$15,-$E$17),0)</f>
        <v>1798.8911806999702</v>
      </c>
      <c r="E29" s="194">
        <v>0</v>
      </c>
      <c r="F29" s="194">
        <f>IFERROR(IPMT($F$9/12,B29,$F$15,-$F$7),0)</f>
        <v>6665.8333333333312</v>
      </c>
      <c r="G29" s="273">
        <f>SUM(D29:F29)</f>
        <v>8464.7245140333016</v>
      </c>
      <c r="H29" s="27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45976</v>
      </c>
      <c r="D30" s="208">
        <f t="shared" ref="D30:D88" si="1">IFERROR(PPMT($F$9/12,B30,$F$15,-$E$17),0)</f>
        <v>1918.8022686534619</v>
      </c>
      <c r="E30" s="196">
        <v>0</v>
      </c>
      <c r="F30" s="196">
        <f t="shared" ref="F30:F88" si="2">IFERROR(IPMT($F$9/12,B30,$F$15,-$F$7),0)</f>
        <v>6545.9222453798402</v>
      </c>
      <c r="G30" s="292">
        <f t="shared" ref="G30:G88" si="3">SUM(D30:F30)</f>
        <v>8464.7245140333016</v>
      </c>
      <c r="H30" s="297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46006</v>
      </c>
      <c r="D31" s="208">
        <f t="shared" si="1"/>
        <v>2046.7064298781208</v>
      </c>
      <c r="E31" s="196">
        <v>0</v>
      </c>
      <c r="F31" s="196">
        <f t="shared" si="2"/>
        <v>6418.0180841551801</v>
      </c>
      <c r="G31" s="292">
        <f t="shared" si="3"/>
        <v>8464.7245140333016</v>
      </c>
      <c r="H31" s="297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46037</v>
      </c>
      <c r="D32" s="208">
        <f t="shared" si="1"/>
        <v>2183.1364693164132</v>
      </c>
      <c r="E32" s="196">
        <v>0</v>
      </c>
      <c r="F32" s="196">
        <f t="shared" si="2"/>
        <v>6281.5880447168893</v>
      </c>
      <c r="G32" s="292">
        <f t="shared" si="3"/>
        <v>8464.7245140333034</v>
      </c>
      <c r="H32" s="297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46068</v>
      </c>
      <c r="D33" s="208">
        <f t="shared" si="1"/>
        <v>2328.6607078002635</v>
      </c>
      <c r="E33" s="196">
        <v>0</v>
      </c>
      <c r="F33" s="196">
        <f t="shared" si="2"/>
        <v>6136.0638062330381</v>
      </c>
      <c r="G33" s="292">
        <f t="shared" si="3"/>
        <v>8464.7245140333016</v>
      </c>
      <c r="H33" s="297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46096</v>
      </c>
      <c r="D34" s="208">
        <f t="shared" si="1"/>
        <v>2483.8853494810492</v>
      </c>
      <c r="E34" s="196">
        <v>0</v>
      </c>
      <c r="F34" s="196">
        <f t="shared" si="2"/>
        <v>5980.8391645522534</v>
      </c>
      <c r="G34" s="292">
        <f t="shared" si="3"/>
        <v>8464.7245140333034</v>
      </c>
      <c r="H34" s="297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46127</v>
      </c>
      <c r="D35" s="208">
        <f t="shared" si="1"/>
        <v>2649.45700706854</v>
      </c>
      <c r="E35" s="196">
        <v>0</v>
      </c>
      <c r="F35" s="196">
        <f t="shared" si="2"/>
        <v>5815.2675069647621</v>
      </c>
      <c r="G35" s="292">
        <f t="shared" si="3"/>
        <v>8464.7245140333016</v>
      </c>
      <c r="H35" s="297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46157</v>
      </c>
      <c r="D36" s="208">
        <f t="shared" si="1"/>
        <v>2826.0653953980504</v>
      </c>
      <c r="E36" s="196">
        <v>0</v>
      </c>
      <c r="F36" s="196">
        <f t="shared" si="2"/>
        <v>5638.6591186352507</v>
      </c>
      <c r="G36" s="292">
        <f t="shared" si="3"/>
        <v>8464.7245140333016</v>
      </c>
      <c r="H36" s="297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46188</v>
      </c>
      <c r="D37" s="208">
        <f t="shared" si="1"/>
        <v>3014.4462045462919</v>
      </c>
      <c r="E37" s="196">
        <v>0</v>
      </c>
      <c r="F37" s="196">
        <f t="shared" si="2"/>
        <v>5450.2783094870101</v>
      </c>
      <c r="G37" s="292">
        <f t="shared" si="3"/>
        <v>8464.7245140333016</v>
      </c>
      <c r="H37" s="297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46218</v>
      </c>
      <c r="D38" s="208">
        <f t="shared" si="1"/>
        <v>3215.3841644643408</v>
      </c>
      <c r="E38" s="196">
        <v>0</v>
      </c>
      <c r="F38" s="196">
        <f t="shared" si="2"/>
        <v>5249.3403495689608</v>
      </c>
      <c r="G38" s="292">
        <f t="shared" si="3"/>
        <v>8464.7245140333016</v>
      </c>
      <c r="H38" s="297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46249</v>
      </c>
      <c r="D39" s="208">
        <f t="shared" si="1"/>
        <v>3429.7163138939263</v>
      </c>
      <c r="E39" s="196">
        <v>0</v>
      </c>
      <c r="F39" s="196">
        <f t="shared" si="2"/>
        <v>5035.0082001393766</v>
      </c>
      <c r="G39" s="292">
        <f t="shared" si="3"/>
        <v>8464.7245140333034</v>
      </c>
      <c r="H39" s="297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46280</v>
      </c>
      <c r="D40" s="208">
        <f t="shared" si="1"/>
        <v>3658.3354871842389</v>
      </c>
      <c r="E40" s="196">
        <v>0</v>
      </c>
      <c r="F40" s="196">
        <f t="shared" si="2"/>
        <v>4806.3890268490632</v>
      </c>
      <c r="G40" s="292">
        <f t="shared" si="3"/>
        <v>8464.7245140333016</v>
      </c>
      <c r="H40" s="297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46310</v>
      </c>
      <c r="D41" s="208">
        <f t="shared" si="1"/>
        <v>3902.1940335341283</v>
      </c>
      <c r="E41" s="196">
        <v>0</v>
      </c>
      <c r="F41" s="196">
        <f t="shared" si="2"/>
        <v>4562.5304804991738</v>
      </c>
      <c r="G41" s="292">
        <f t="shared" si="3"/>
        <v>8464.7245140333016</v>
      </c>
      <c r="H41" s="297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46341</v>
      </c>
      <c r="D42" s="208">
        <f t="shared" si="1"/>
        <v>4162.3077841527911</v>
      </c>
      <c r="E42" s="196">
        <v>0</v>
      </c>
      <c r="F42" s="196">
        <f t="shared" si="2"/>
        <v>4302.4167298805114</v>
      </c>
      <c r="G42" s="292">
        <f t="shared" si="3"/>
        <v>8464.7245140333034</v>
      </c>
      <c r="H42" s="297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46371</v>
      </c>
      <c r="D43" s="208">
        <f t="shared" si="1"/>
        <v>4439.7602838647754</v>
      </c>
      <c r="E43" s="196">
        <v>0</v>
      </c>
      <c r="F43" s="196">
        <f t="shared" si="2"/>
        <v>4024.9642301685262</v>
      </c>
      <c r="G43" s="292">
        <f t="shared" si="3"/>
        <v>8464.7245140333016</v>
      </c>
      <c r="H43" s="297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46402</v>
      </c>
      <c r="D44" s="208">
        <f t="shared" si="1"/>
        <v>4735.7073047867279</v>
      </c>
      <c r="E44" s="196">
        <v>0</v>
      </c>
      <c r="F44" s="196">
        <f t="shared" si="2"/>
        <v>3729.0172092465737</v>
      </c>
      <c r="G44" s="292">
        <f t="shared" si="3"/>
        <v>8464.7245140333016</v>
      </c>
      <c r="H44" s="297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46433</v>
      </c>
      <c r="D45" s="208">
        <f t="shared" si="1"/>
        <v>5051.3816608783036</v>
      </c>
      <c r="E45" s="196">
        <v>0</v>
      </c>
      <c r="F45" s="196">
        <f t="shared" si="2"/>
        <v>3413.3428531549989</v>
      </c>
      <c r="G45" s="292">
        <f t="shared" si="3"/>
        <v>8464.7245140333034</v>
      </c>
      <c r="H45" s="29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46461</v>
      </c>
      <c r="D46" s="208">
        <f t="shared" si="1"/>
        <v>5388.0983434230166</v>
      </c>
      <c r="E46" s="196">
        <v>0</v>
      </c>
      <c r="F46" s="196">
        <f t="shared" si="2"/>
        <v>3076.626170610286</v>
      </c>
      <c r="G46" s="292">
        <f t="shared" si="3"/>
        <v>8464.7245140333034</v>
      </c>
      <c r="H46" s="29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46492</v>
      </c>
      <c r="D47" s="208">
        <f t="shared" si="1"/>
        <v>5747.2599988316888</v>
      </c>
      <c r="E47" s="196">
        <v>0</v>
      </c>
      <c r="F47" s="196">
        <f t="shared" si="2"/>
        <v>2717.4645152016128</v>
      </c>
      <c r="G47" s="292">
        <f t="shared" si="3"/>
        <v>8464.7245140333016</v>
      </c>
      <c r="H47" s="29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46522</v>
      </c>
      <c r="D48" s="208">
        <f t="shared" si="1"/>
        <v>6130.3627715871453</v>
      </c>
      <c r="E48" s="196">
        <v>0</v>
      </c>
      <c r="F48" s="196">
        <f t="shared" si="2"/>
        <v>2334.3617424461577</v>
      </c>
      <c r="G48" s="292">
        <f t="shared" si="3"/>
        <v>8464.7245140333034</v>
      </c>
      <c r="H48" s="29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46553</v>
      </c>
      <c r="D49" s="208">
        <f t="shared" si="1"/>
        <v>6539.0025366698574</v>
      </c>
      <c r="E49" s="196">
        <v>0</v>
      </c>
      <c r="F49" s="196">
        <f t="shared" si="2"/>
        <v>1925.7219773634447</v>
      </c>
      <c r="G49" s="292">
        <f t="shared" si="3"/>
        <v>8464.7245140333016</v>
      </c>
      <c r="H49" s="29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46583</v>
      </c>
      <c r="D50" s="208">
        <f t="shared" si="1"/>
        <v>6974.8815474267094</v>
      </c>
      <c r="E50" s="196">
        <v>0</v>
      </c>
      <c r="F50" s="196">
        <f t="shared" si="2"/>
        <v>1489.8429666065929</v>
      </c>
      <c r="G50" s="292">
        <f t="shared" si="3"/>
        <v>8464.7245140333016</v>
      </c>
      <c r="H50" s="297"/>
      <c r="I50" s="3"/>
    </row>
    <row r="51" spans="1:11" x14ac:dyDescent="0.2">
      <c r="A51" s="60">
        <v>25</v>
      </c>
      <c r="B51" s="215">
        <v>23</v>
      </c>
      <c r="C51" s="212">
        <f t="shared" ca="1" si="0"/>
        <v>46614</v>
      </c>
      <c r="D51" s="208">
        <f t="shared" si="1"/>
        <v>7439.815526575595</v>
      </c>
      <c r="E51" s="196">
        <v>0</v>
      </c>
      <c r="F51" s="196">
        <f t="shared" si="2"/>
        <v>1024.9089874577078</v>
      </c>
      <c r="G51" s="292">
        <f t="shared" si="3"/>
        <v>8464.7245140333034</v>
      </c>
      <c r="H51" s="297"/>
      <c r="I51" s="3"/>
    </row>
    <row r="52" spans="1:11" x14ac:dyDescent="0.2">
      <c r="A52" s="60"/>
      <c r="B52" s="215">
        <v>24</v>
      </c>
      <c r="C52" s="212">
        <f t="shared" ca="1" si="0"/>
        <v>46645</v>
      </c>
      <c r="D52" s="208">
        <f t="shared" si="1"/>
        <v>7935.7412298845811</v>
      </c>
      <c r="E52" s="196">
        <v>0</v>
      </c>
      <c r="F52" s="196">
        <f t="shared" si="2"/>
        <v>528.98328414872287</v>
      </c>
      <c r="G52" s="292">
        <f t="shared" si="3"/>
        <v>8464.7245140333034</v>
      </c>
      <c r="H52" s="297"/>
      <c r="I52" s="3"/>
    </row>
    <row r="53" spans="1:11" x14ac:dyDescent="0.2">
      <c r="A53" s="60"/>
      <c r="B53" s="215">
        <v>25</v>
      </c>
      <c r="C53" s="212">
        <f t="shared" ca="1" si="0"/>
        <v>46675</v>
      </c>
      <c r="D53" s="208">
        <f t="shared" si="1"/>
        <v>0</v>
      </c>
      <c r="E53" s="196">
        <v>0</v>
      </c>
      <c r="F53" s="196">
        <f t="shared" si="2"/>
        <v>0</v>
      </c>
      <c r="G53" s="292">
        <f t="shared" si="3"/>
        <v>0</v>
      </c>
      <c r="H53" s="297"/>
      <c r="I53" s="3"/>
    </row>
    <row r="54" spans="1:11" x14ac:dyDescent="0.2">
      <c r="A54" s="60"/>
      <c r="B54" s="215">
        <v>26</v>
      </c>
      <c r="C54" s="212">
        <f t="shared" ca="1" si="0"/>
        <v>46706</v>
      </c>
      <c r="D54" s="208">
        <f t="shared" si="1"/>
        <v>0</v>
      </c>
      <c r="E54" s="196">
        <v>0</v>
      </c>
      <c r="F54" s="196">
        <f t="shared" si="2"/>
        <v>0</v>
      </c>
      <c r="G54" s="292">
        <f t="shared" si="3"/>
        <v>0</v>
      </c>
      <c r="H54" s="297"/>
      <c r="I54" s="3"/>
    </row>
    <row r="55" spans="1:11" x14ac:dyDescent="0.2">
      <c r="A55" s="60"/>
      <c r="B55" s="215">
        <v>27</v>
      </c>
      <c r="C55" s="212">
        <f t="shared" ca="1" si="0"/>
        <v>46736</v>
      </c>
      <c r="D55" s="208">
        <f t="shared" si="1"/>
        <v>0</v>
      </c>
      <c r="E55" s="196">
        <v>0</v>
      </c>
      <c r="F55" s="196">
        <f t="shared" si="2"/>
        <v>0</v>
      </c>
      <c r="G55" s="292">
        <f t="shared" si="3"/>
        <v>0</v>
      </c>
      <c r="H55" s="297"/>
      <c r="I55" s="3"/>
    </row>
    <row r="56" spans="1:11" x14ac:dyDescent="0.2">
      <c r="A56" s="60"/>
      <c r="B56" s="215">
        <v>28</v>
      </c>
      <c r="C56" s="212">
        <f t="shared" ca="1" si="0"/>
        <v>46767</v>
      </c>
      <c r="D56" s="208">
        <f t="shared" si="1"/>
        <v>0</v>
      </c>
      <c r="E56" s="196">
        <v>0</v>
      </c>
      <c r="F56" s="196">
        <f t="shared" si="2"/>
        <v>0</v>
      </c>
      <c r="G56" s="292">
        <f t="shared" si="3"/>
        <v>0</v>
      </c>
      <c r="H56" s="297"/>
      <c r="I56" s="3"/>
    </row>
    <row r="57" spans="1:11" x14ac:dyDescent="0.2">
      <c r="A57" s="60"/>
      <c r="B57" s="215">
        <v>29</v>
      </c>
      <c r="C57" s="212">
        <f t="shared" ca="1" si="0"/>
        <v>46798</v>
      </c>
      <c r="D57" s="208">
        <f t="shared" si="1"/>
        <v>0</v>
      </c>
      <c r="E57" s="196">
        <v>0</v>
      </c>
      <c r="F57" s="196">
        <f t="shared" si="2"/>
        <v>0</v>
      </c>
      <c r="G57" s="292">
        <f t="shared" si="3"/>
        <v>0</v>
      </c>
      <c r="H57" s="297"/>
      <c r="I57" s="3"/>
    </row>
    <row r="58" spans="1:11" x14ac:dyDescent="0.2">
      <c r="A58" s="60">
        <v>25</v>
      </c>
      <c r="B58" s="215">
        <v>30</v>
      </c>
      <c r="C58" s="212">
        <f t="shared" ca="1" si="0"/>
        <v>46827</v>
      </c>
      <c r="D58" s="208">
        <f t="shared" si="1"/>
        <v>0</v>
      </c>
      <c r="E58" s="196">
        <v>0</v>
      </c>
      <c r="F58" s="196">
        <f t="shared" si="2"/>
        <v>0</v>
      </c>
      <c r="G58" s="292">
        <f t="shared" si="3"/>
        <v>0</v>
      </c>
      <c r="H58" s="29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46858</v>
      </c>
      <c r="D59" s="208">
        <f t="shared" si="1"/>
        <v>0</v>
      </c>
      <c r="E59" s="196">
        <v>0</v>
      </c>
      <c r="F59" s="196">
        <f t="shared" si="2"/>
        <v>0</v>
      </c>
      <c r="G59" s="292">
        <f t="shared" si="3"/>
        <v>0</v>
      </c>
      <c r="H59" s="29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46888</v>
      </c>
      <c r="D60" s="208">
        <f t="shared" si="1"/>
        <v>0</v>
      </c>
      <c r="E60" s="196">
        <v>0</v>
      </c>
      <c r="F60" s="196">
        <f t="shared" si="2"/>
        <v>0</v>
      </c>
      <c r="G60" s="292">
        <f t="shared" si="3"/>
        <v>0</v>
      </c>
      <c r="H60" s="29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46919</v>
      </c>
      <c r="D61" s="208">
        <f t="shared" si="1"/>
        <v>0</v>
      </c>
      <c r="E61" s="196">
        <v>0</v>
      </c>
      <c r="F61" s="196">
        <f t="shared" si="2"/>
        <v>0</v>
      </c>
      <c r="G61" s="292">
        <f t="shared" si="3"/>
        <v>0</v>
      </c>
      <c r="H61" s="29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46949</v>
      </c>
      <c r="D62" s="208">
        <f t="shared" si="1"/>
        <v>0</v>
      </c>
      <c r="E62" s="196">
        <v>0</v>
      </c>
      <c r="F62" s="196">
        <f t="shared" si="2"/>
        <v>0</v>
      </c>
      <c r="G62" s="292">
        <f t="shared" si="3"/>
        <v>0</v>
      </c>
      <c r="H62" s="29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46980</v>
      </c>
      <c r="D63" s="208">
        <f t="shared" si="1"/>
        <v>0</v>
      </c>
      <c r="E63" s="196">
        <v>0</v>
      </c>
      <c r="F63" s="196">
        <f t="shared" si="2"/>
        <v>0</v>
      </c>
      <c r="G63" s="292">
        <f t="shared" si="3"/>
        <v>0</v>
      </c>
      <c r="H63" s="297"/>
      <c r="I63" s="134"/>
      <c r="J63" s="134"/>
    </row>
    <row r="64" spans="1:11" x14ac:dyDescent="0.2">
      <c r="A64" s="60"/>
      <c r="B64" s="215">
        <v>36</v>
      </c>
      <c r="C64" s="212">
        <f t="shared" ca="1" si="0"/>
        <v>47011</v>
      </c>
      <c r="D64" s="208">
        <f t="shared" si="1"/>
        <v>0</v>
      </c>
      <c r="E64" s="196">
        <v>0</v>
      </c>
      <c r="F64" s="196">
        <f t="shared" si="2"/>
        <v>0</v>
      </c>
      <c r="G64" s="292">
        <f t="shared" si="3"/>
        <v>0</v>
      </c>
      <c r="H64" s="297"/>
      <c r="I64" s="134"/>
      <c r="J64" s="134"/>
    </row>
    <row r="65" spans="1:10" x14ac:dyDescent="0.2">
      <c r="A65" s="60"/>
      <c r="B65" s="215">
        <v>37</v>
      </c>
      <c r="C65" s="212">
        <f t="shared" ca="1" si="0"/>
        <v>47041</v>
      </c>
      <c r="D65" s="208">
        <f t="shared" si="1"/>
        <v>0</v>
      </c>
      <c r="E65" s="196">
        <v>0</v>
      </c>
      <c r="F65" s="196">
        <f t="shared" si="2"/>
        <v>0</v>
      </c>
      <c r="G65" s="292">
        <f t="shared" si="3"/>
        <v>0</v>
      </c>
      <c r="H65" s="29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47072</v>
      </c>
      <c r="D66" s="208">
        <f t="shared" si="1"/>
        <v>0</v>
      </c>
      <c r="E66" s="196">
        <v>0</v>
      </c>
      <c r="F66" s="196">
        <f t="shared" si="2"/>
        <v>0</v>
      </c>
      <c r="G66" s="292">
        <f t="shared" si="3"/>
        <v>0</v>
      </c>
      <c r="H66" s="29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47102</v>
      </c>
      <c r="D67" s="208">
        <f t="shared" si="1"/>
        <v>0</v>
      </c>
      <c r="E67" s="196">
        <v>0</v>
      </c>
      <c r="F67" s="196">
        <f t="shared" si="2"/>
        <v>0</v>
      </c>
      <c r="G67" s="292">
        <f t="shared" si="3"/>
        <v>0</v>
      </c>
      <c r="H67" s="29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47133</v>
      </c>
      <c r="D68" s="208">
        <f t="shared" si="1"/>
        <v>0</v>
      </c>
      <c r="E68" s="196">
        <v>0</v>
      </c>
      <c r="F68" s="196">
        <f t="shared" si="2"/>
        <v>0</v>
      </c>
      <c r="G68" s="292">
        <f t="shared" si="3"/>
        <v>0</v>
      </c>
      <c r="H68" s="29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47164</v>
      </c>
      <c r="D69" s="208">
        <f t="shared" si="1"/>
        <v>0</v>
      </c>
      <c r="E69" s="196">
        <v>0</v>
      </c>
      <c r="F69" s="196">
        <f t="shared" si="2"/>
        <v>0</v>
      </c>
      <c r="G69" s="292">
        <f t="shared" si="3"/>
        <v>0</v>
      </c>
      <c r="H69" s="29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47192</v>
      </c>
      <c r="D70" s="208">
        <f t="shared" si="1"/>
        <v>0</v>
      </c>
      <c r="E70" s="196">
        <v>0</v>
      </c>
      <c r="F70" s="196">
        <f t="shared" si="2"/>
        <v>0</v>
      </c>
      <c r="G70" s="292">
        <f t="shared" si="3"/>
        <v>0</v>
      </c>
      <c r="H70" s="29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47223</v>
      </c>
      <c r="D71" s="208">
        <f t="shared" si="1"/>
        <v>0</v>
      </c>
      <c r="E71" s="196">
        <v>0</v>
      </c>
      <c r="F71" s="196">
        <f t="shared" si="2"/>
        <v>0</v>
      </c>
      <c r="G71" s="292">
        <f t="shared" si="3"/>
        <v>0</v>
      </c>
      <c r="H71" s="29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47253</v>
      </c>
      <c r="D72" s="208">
        <f t="shared" si="1"/>
        <v>0</v>
      </c>
      <c r="E72" s="196">
        <v>0</v>
      </c>
      <c r="F72" s="196">
        <f t="shared" si="2"/>
        <v>0</v>
      </c>
      <c r="G72" s="292">
        <f t="shared" si="3"/>
        <v>0</v>
      </c>
      <c r="H72" s="29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47284</v>
      </c>
      <c r="D73" s="208">
        <f t="shared" si="1"/>
        <v>0</v>
      </c>
      <c r="E73" s="196">
        <v>0</v>
      </c>
      <c r="F73" s="196">
        <f t="shared" si="2"/>
        <v>0</v>
      </c>
      <c r="G73" s="292">
        <f t="shared" si="3"/>
        <v>0</v>
      </c>
      <c r="H73" s="29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47314</v>
      </c>
      <c r="D74" s="208">
        <f t="shared" si="1"/>
        <v>0</v>
      </c>
      <c r="E74" s="196">
        <v>0</v>
      </c>
      <c r="F74" s="196">
        <f t="shared" si="2"/>
        <v>0</v>
      </c>
      <c r="G74" s="292">
        <f t="shared" si="3"/>
        <v>0</v>
      </c>
      <c r="H74" s="29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47345</v>
      </c>
      <c r="D75" s="208">
        <f t="shared" si="1"/>
        <v>0</v>
      </c>
      <c r="E75" s="196">
        <v>0</v>
      </c>
      <c r="F75" s="196">
        <f t="shared" si="2"/>
        <v>0</v>
      </c>
      <c r="G75" s="292">
        <f t="shared" si="3"/>
        <v>0</v>
      </c>
      <c r="H75" s="29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47376</v>
      </c>
      <c r="D76" s="208">
        <f t="shared" si="1"/>
        <v>0</v>
      </c>
      <c r="E76" s="196">
        <v>0</v>
      </c>
      <c r="F76" s="196">
        <f t="shared" si="2"/>
        <v>0</v>
      </c>
      <c r="G76" s="292">
        <f t="shared" si="3"/>
        <v>0</v>
      </c>
      <c r="H76" s="29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47406</v>
      </c>
      <c r="D77" s="208">
        <f t="shared" si="1"/>
        <v>0</v>
      </c>
      <c r="E77" s="196">
        <v>0</v>
      </c>
      <c r="F77" s="196">
        <f t="shared" si="2"/>
        <v>0</v>
      </c>
      <c r="G77" s="292">
        <f t="shared" si="3"/>
        <v>0</v>
      </c>
      <c r="H77" s="29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47437</v>
      </c>
      <c r="D78" s="208">
        <f t="shared" si="1"/>
        <v>0</v>
      </c>
      <c r="E78" s="196">
        <v>0</v>
      </c>
      <c r="F78" s="196">
        <f t="shared" si="2"/>
        <v>0</v>
      </c>
      <c r="G78" s="292">
        <f t="shared" si="3"/>
        <v>0</v>
      </c>
      <c r="H78" s="29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47467</v>
      </c>
      <c r="D79" s="208">
        <f t="shared" si="1"/>
        <v>0</v>
      </c>
      <c r="E79" s="196">
        <v>0</v>
      </c>
      <c r="F79" s="196">
        <f t="shared" si="2"/>
        <v>0</v>
      </c>
      <c r="G79" s="292">
        <f t="shared" si="3"/>
        <v>0</v>
      </c>
      <c r="H79" s="29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47498</v>
      </c>
      <c r="D80" s="208">
        <f t="shared" si="1"/>
        <v>0</v>
      </c>
      <c r="E80" s="196">
        <v>0</v>
      </c>
      <c r="F80" s="196">
        <f t="shared" si="2"/>
        <v>0</v>
      </c>
      <c r="G80" s="292">
        <f t="shared" si="3"/>
        <v>0</v>
      </c>
      <c r="H80" s="29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47529</v>
      </c>
      <c r="D81" s="208">
        <f t="shared" si="1"/>
        <v>0</v>
      </c>
      <c r="E81" s="196">
        <v>0</v>
      </c>
      <c r="F81" s="196">
        <f t="shared" si="2"/>
        <v>0</v>
      </c>
      <c r="G81" s="292">
        <f t="shared" si="3"/>
        <v>0</v>
      </c>
      <c r="H81" s="29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47557</v>
      </c>
      <c r="D82" s="208">
        <f t="shared" si="1"/>
        <v>0</v>
      </c>
      <c r="E82" s="196">
        <v>0</v>
      </c>
      <c r="F82" s="196">
        <f t="shared" si="2"/>
        <v>0</v>
      </c>
      <c r="G82" s="292">
        <f t="shared" si="3"/>
        <v>0</v>
      </c>
      <c r="H82" s="29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47588</v>
      </c>
      <c r="D83" s="208">
        <f t="shared" si="1"/>
        <v>0</v>
      </c>
      <c r="E83" s="196">
        <v>0</v>
      </c>
      <c r="F83" s="196">
        <f t="shared" si="2"/>
        <v>0</v>
      </c>
      <c r="G83" s="292">
        <f t="shared" si="3"/>
        <v>0</v>
      </c>
      <c r="H83" s="29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47618</v>
      </c>
      <c r="D84" s="208">
        <f t="shared" si="1"/>
        <v>0</v>
      </c>
      <c r="E84" s="196">
        <v>0</v>
      </c>
      <c r="F84" s="196">
        <f t="shared" si="2"/>
        <v>0</v>
      </c>
      <c r="G84" s="292">
        <f t="shared" si="3"/>
        <v>0</v>
      </c>
      <c r="H84" s="29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47649</v>
      </c>
      <c r="D85" s="208">
        <f t="shared" si="1"/>
        <v>0</v>
      </c>
      <c r="E85" s="196">
        <v>0</v>
      </c>
      <c r="F85" s="196">
        <f t="shared" si="2"/>
        <v>0</v>
      </c>
      <c r="G85" s="292">
        <f t="shared" si="3"/>
        <v>0</v>
      </c>
      <c r="H85" s="29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47679</v>
      </c>
      <c r="D86" s="208">
        <f t="shared" si="1"/>
        <v>0</v>
      </c>
      <c r="E86" s="196">
        <v>0</v>
      </c>
      <c r="F86" s="196">
        <f t="shared" si="2"/>
        <v>0</v>
      </c>
      <c r="G86" s="292">
        <f t="shared" si="3"/>
        <v>0</v>
      </c>
      <c r="H86" s="29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47710</v>
      </c>
      <c r="D87" s="208">
        <f t="shared" si="1"/>
        <v>0</v>
      </c>
      <c r="E87" s="196">
        <v>0</v>
      </c>
      <c r="F87" s="196">
        <f t="shared" si="2"/>
        <v>0</v>
      </c>
      <c r="G87" s="292">
        <f t="shared" si="3"/>
        <v>0</v>
      </c>
      <c r="H87" s="29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47741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6">
        <f>SUM(D29:D88)</f>
        <v>99999.999999999971</v>
      </c>
      <c r="E89" s="206">
        <f>SUM(E29:E88)</f>
        <v>0</v>
      </c>
      <c r="F89" s="206">
        <f>SUM(F29:F88)</f>
        <v>103153.38833679925</v>
      </c>
      <c r="G89" s="298">
        <f>SUM(G29:H88)</f>
        <v>203153.38833679917</v>
      </c>
      <c r="H89" s="29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f01nsiwsfXPSJMfvcbtYjX4fR+QcWcHDZQZQaPGKxmUEo7Gy4K+t+K9dSaHzKFFPc2cZlie/JshNrBRrqE7SoA==" saltValue="dHSdKTkhMvLdPuNG9SXqqw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45915</v>
      </c>
      <c r="H2" s="249" t="s">
        <v>70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Позитив Нестандарт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Позитив Нестандарт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str">
        <f>Лист2!A8</f>
        <v>Позитив Нестандарт СК, 60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45915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45945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45976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46006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46037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46068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46096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46127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46157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46188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46218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46249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46280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46310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46341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46371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46402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46433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46461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46492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46522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46553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46583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46614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">
      <c r="A52" s="60"/>
      <c r="B52" s="128">
        <v>24</v>
      </c>
      <c r="C52" s="132">
        <f t="shared" ca="1" si="0"/>
        <v>46645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">
      <c r="A53" s="60"/>
      <c r="B53" s="128">
        <v>25</v>
      </c>
      <c r="C53" s="132">
        <f t="shared" ca="1" si="0"/>
        <v>46675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">
      <c r="A54" s="60"/>
      <c r="B54" s="128">
        <v>26</v>
      </c>
      <c r="C54" s="132">
        <f t="shared" ca="1" si="0"/>
        <v>46706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">
      <c r="A55" s="60"/>
      <c r="B55" s="128">
        <v>27</v>
      </c>
      <c r="C55" s="132">
        <f t="shared" ca="1" si="0"/>
        <v>46736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">
      <c r="A56" s="60"/>
      <c r="B56" s="128">
        <v>28</v>
      </c>
      <c r="C56" s="132">
        <f t="shared" ca="1" si="0"/>
        <v>46767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">
      <c r="A57" s="60"/>
      <c r="B57" s="128">
        <v>29</v>
      </c>
      <c r="C57" s="132">
        <f t="shared" ca="1" si="0"/>
        <v>46798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46827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46858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46888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46919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46949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46980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47011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47041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47072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47102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47133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47164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47192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47223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47253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47284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47314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47345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47376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47406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47437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47467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47498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47529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47557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47588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47618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47649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47679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47710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47741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7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5.140625" style="4" hidden="1" customWidth="1" outlineLevel="1"/>
    <col min="12" max="12" width="8.710937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>
        <f>VLOOKUP('Позитив_Нестандарт СК'!H2,Лист2!A:O,14,FALSE)</f>
        <v>5000</v>
      </c>
      <c r="F2" s="126">
        <f>VLOOKUP(H$2,Лист2!$A:$H,2,0)</f>
        <v>434782.61</v>
      </c>
      <c r="G2" s="185">
        <f ca="1">TODAY()</f>
        <v>45915</v>
      </c>
      <c r="H2" s="249" t="s">
        <v>101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51" t="str">
        <f>IF(E3="x","Збільшіть суму",IF(E3="y","Зменшіть суму",""))</f>
        <v/>
      </c>
      <c r="G3" s="77">
        <f>Назви!B35</f>
        <v>30.4</v>
      </c>
      <c r="H3" s="253" t="str">
        <f>VLOOKUP(H$2,Лист2!$A:$H,7,0)</f>
        <v>max. 434782,61 грн.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>
        <f>D89</f>
        <v>115000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>
        <f>VLOOKUP(H$2,Лист2!$A:$H,4,0)</f>
        <v>0.61990000000000001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>
        <f>VLOOKUP(H$2,Лист2!$A:$H,5,0)</f>
        <v>0.15</v>
      </c>
      <c r="G11" s="286"/>
      <c r="H11" s="286"/>
      <c r="I11" s="3"/>
      <c r="J11" s="51"/>
      <c r="K11" s="162"/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/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>
        <f>VLOOKUP(H$2,Лист2!$A:$H,6,0)</f>
        <v>0</v>
      </c>
      <c r="G13" s="286"/>
      <c r="H13" s="286"/>
      <c r="I13" s="3"/>
      <c r="J13" s="51"/>
      <c r="K13" s="162" t="str">
        <f>Лист2!A8</f>
        <v>Позитив Нестандарт СК, 60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str">
        <f>Лист2!A9</f>
        <v>Позитив Нестандарт СК, 36 міс.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>
        <f>VLOOKUP(H$2,Лист2!$A:$H,3,0)</f>
        <v>24</v>
      </c>
      <c r="G15" s="286"/>
      <c r="H15" s="286"/>
      <c r="I15" s="3"/>
      <c r="J15" s="51"/>
      <c r="K15" s="162" t="str">
        <f>Лист2!A10</f>
        <v>Позитив Нестандарт СК, 24 міс.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15000</v>
      </c>
      <c r="F16" s="61"/>
      <c r="G16" s="120"/>
      <c r="H16" s="11"/>
      <c r="I16" s="1"/>
      <c r="J16" s="52"/>
      <c r="K16" s="162" t="str">
        <f>Лист2!A11</f>
        <v>Позитив Нестандарт СК, 12 міс.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115000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>
        <f>PMT(F9/12,F15,-E17)+F13*E17</f>
        <v>8469.1073863238216</v>
      </c>
      <c r="G18" s="289"/>
      <c r="H18" s="290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>
        <f>G89-E3</f>
        <v>103258.57727177179</v>
      </c>
      <c r="G20" s="291"/>
      <c r="H20" s="291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>
        <f>F7+F20</f>
        <v>218258.57727177179</v>
      </c>
      <c r="G22" s="286"/>
      <c r="H22" s="286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>
        <f ca="1">XIRR(G28:G88,C28:C88)</f>
        <v>1.1729749560356146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45915</v>
      </c>
      <c r="D28" s="113"/>
      <c r="E28" s="114"/>
      <c r="F28" s="113"/>
      <c r="G28" s="287">
        <f>-1*E3</f>
        <v>-100000</v>
      </c>
      <c r="H28" s="28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45945</v>
      </c>
      <c r="D29" s="207">
        <f>IFERROR(PPMT($F$9/12,B29,$F$15,-$E$17),0)</f>
        <v>2528.3990529904891</v>
      </c>
      <c r="E29" s="194">
        <v>0</v>
      </c>
      <c r="F29" s="194">
        <f>IFERROR(IPMT($F$9/12,B29,$F$15,-$F$7),0)</f>
        <v>5940.708333333333</v>
      </c>
      <c r="G29" s="273">
        <f>SUM(D29:F29)</f>
        <v>8469.1073863238216</v>
      </c>
      <c r="H29" s="27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45976</v>
      </c>
      <c r="D30" s="208">
        <f t="shared" ref="D30:D88" si="1">IFERROR(PPMT($F$9/12,B30,$F$15,-$E$17),0)</f>
        <v>2659.011934069556</v>
      </c>
      <c r="E30" s="196">
        <v>0</v>
      </c>
      <c r="F30" s="196">
        <f t="shared" ref="F30:F88" si="2">IFERROR(IPMT($F$9/12,B30,$F$15,-$F$7),0)</f>
        <v>5810.0954522542652</v>
      </c>
      <c r="G30" s="292">
        <f t="shared" ref="G30:G88" si="3">SUM(D30:F30)</f>
        <v>8469.1073863238216</v>
      </c>
      <c r="H30" s="297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46006</v>
      </c>
      <c r="D31" s="208">
        <f t="shared" si="1"/>
        <v>2796.3720588970332</v>
      </c>
      <c r="E31" s="196">
        <v>0</v>
      </c>
      <c r="F31" s="196">
        <f t="shared" si="2"/>
        <v>5672.7353274267889</v>
      </c>
      <c r="G31" s="292">
        <f t="shared" si="3"/>
        <v>8469.1073863238216</v>
      </c>
      <c r="H31" s="297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46037</v>
      </c>
      <c r="D32" s="208">
        <f t="shared" si="1"/>
        <v>2940.8279788395553</v>
      </c>
      <c r="E32" s="196">
        <v>0</v>
      </c>
      <c r="F32" s="196">
        <f t="shared" si="2"/>
        <v>5528.2794074842668</v>
      </c>
      <c r="G32" s="292">
        <f t="shared" si="3"/>
        <v>8469.1073863238216</v>
      </c>
      <c r="H32" s="297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46068</v>
      </c>
      <c r="D33" s="208">
        <f t="shared" si="1"/>
        <v>3092.7462508464423</v>
      </c>
      <c r="E33" s="196">
        <v>0</v>
      </c>
      <c r="F33" s="196">
        <f t="shared" si="2"/>
        <v>5376.3611354773802</v>
      </c>
      <c r="G33" s="292">
        <f t="shared" si="3"/>
        <v>8469.1073863238234</v>
      </c>
      <c r="H33" s="297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46096</v>
      </c>
      <c r="D34" s="208">
        <f t="shared" si="1"/>
        <v>3252.5123675880845</v>
      </c>
      <c r="E34" s="196">
        <v>0</v>
      </c>
      <c r="F34" s="196">
        <f t="shared" si="2"/>
        <v>5216.5950187357375</v>
      </c>
      <c r="G34" s="292">
        <f t="shared" si="3"/>
        <v>8469.1073863238216</v>
      </c>
      <c r="H34" s="297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46127</v>
      </c>
      <c r="D35" s="208">
        <f t="shared" si="1"/>
        <v>3420.531735643739</v>
      </c>
      <c r="E35" s="196">
        <v>0</v>
      </c>
      <c r="F35" s="196">
        <f t="shared" si="2"/>
        <v>5048.5756506800835</v>
      </c>
      <c r="G35" s="292">
        <f t="shared" si="3"/>
        <v>8469.1073863238234</v>
      </c>
      <c r="H35" s="297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46157</v>
      </c>
      <c r="D36" s="208">
        <f t="shared" si="1"/>
        <v>3597.2307042208677</v>
      </c>
      <c r="E36" s="196">
        <v>0</v>
      </c>
      <c r="F36" s="196">
        <f t="shared" si="2"/>
        <v>4871.876682102954</v>
      </c>
      <c r="G36" s="292">
        <f t="shared" si="3"/>
        <v>8469.1073863238216</v>
      </c>
      <c r="H36" s="297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46188</v>
      </c>
      <c r="D37" s="208">
        <f t="shared" si="1"/>
        <v>3783.0576470164119</v>
      </c>
      <c r="E37" s="196">
        <v>0</v>
      </c>
      <c r="F37" s="196">
        <f t="shared" si="2"/>
        <v>4686.0497393074111</v>
      </c>
      <c r="G37" s="292">
        <f t="shared" si="3"/>
        <v>8469.1073863238234</v>
      </c>
      <c r="H37" s="297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46218</v>
      </c>
      <c r="D38" s="208">
        <f t="shared" si="1"/>
        <v>3978.484099965201</v>
      </c>
      <c r="E38" s="196">
        <v>0</v>
      </c>
      <c r="F38" s="196">
        <f t="shared" si="2"/>
        <v>4490.623286358621</v>
      </c>
      <c r="G38" s="292">
        <f t="shared" si="3"/>
        <v>8469.1073863238216</v>
      </c>
      <c r="H38" s="297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46249</v>
      </c>
      <c r="D39" s="208">
        <f t="shared" si="1"/>
        <v>4184.0059577625698</v>
      </c>
      <c r="E39" s="196">
        <v>0</v>
      </c>
      <c r="F39" s="196">
        <f t="shared" si="2"/>
        <v>4285.1014285612528</v>
      </c>
      <c r="G39" s="292">
        <f t="shared" si="3"/>
        <v>8469.1073863238234</v>
      </c>
      <c r="H39" s="297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46280</v>
      </c>
      <c r="D40" s="208">
        <f t="shared" si="1"/>
        <v>4400.1447321973219</v>
      </c>
      <c r="E40" s="196">
        <v>0</v>
      </c>
      <c r="F40" s="196">
        <f t="shared" si="2"/>
        <v>4068.9626541265006</v>
      </c>
      <c r="G40" s="292">
        <f t="shared" si="3"/>
        <v>8469.1073863238234</v>
      </c>
      <c r="H40" s="297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46310</v>
      </c>
      <c r="D41" s="208">
        <f t="shared" si="1"/>
        <v>4627.4488754880813</v>
      </c>
      <c r="E41" s="196">
        <v>0</v>
      </c>
      <c r="F41" s="196">
        <f t="shared" si="2"/>
        <v>3841.6585108357403</v>
      </c>
      <c r="G41" s="292">
        <f t="shared" si="3"/>
        <v>8469.1073863238216</v>
      </c>
      <c r="H41" s="297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46341</v>
      </c>
      <c r="D42" s="208">
        <f t="shared" si="1"/>
        <v>4866.4951719810042</v>
      </c>
      <c r="E42" s="196">
        <v>0</v>
      </c>
      <c r="F42" s="196">
        <f t="shared" si="2"/>
        <v>3602.6122143428183</v>
      </c>
      <c r="G42" s="292">
        <f t="shared" si="3"/>
        <v>8469.1073863238234</v>
      </c>
      <c r="H42" s="297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46371</v>
      </c>
      <c r="D43" s="208">
        <f t="shared" si="1"/>
        <v>5117.8902017402552</v>
      </c>
      <c r="E43" s="196">
        <v>0</v>
      </c>
      <c r="F43" s="196">
        <f t="shared" si="2"/>
        <v>3351.2171845835669</v>
      </c>
      <c r="G43" s="292">
        <f t="shared" si="3"/>
        <v>8469.1073863238216</v>
      </c>
      <c r="H43" s="297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46402</v>
      </c>
      <c r="D44" s="208">
        <f t="shared" si="1"/>
        <v>5382.2718797451544</v>
      </c>
      <c r="E44" s="196">
        <v>0</v>
      </c>
      <c r="F44" s="196">
        <f t="shared" si="2"/>
        <v>3086.8355065786682</v>
      </c>
      <c r="G44" s="292">
        <f t="shared" si="3"/>
        <v>8469.1073863238234</v>
      </c>
      <c r="H44" s="297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46433</v>
      </c>
      <c r="D45" s="208">
        <f t="shared" si="1"/>
        <v>5660.3110745996555</v>
      </c>
      <c r="E45" s="196">
        <v>0</v>
      </c>
      <c r="F45" s="196">
        <f t="shared" si="2"/>
        <v>2808.7963117241666</v>
      </c>
      <c r="G45" s="292">
        <f t="shared" si="3"/>
        <v>8469.1073863238216</v>
      </c>
      <c r="H45" s="29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46461</v>
      </c>
      <c r="D46" s="208">
        <f t="shared" si="1"/>
        <v>5952.7133108616827</v>
      </c>
      <c r="E46" s="196">
        <v>0</v>
      </c>
      <c r="F46" s="196">
        <f t="shared" si="2"/>
        <v>2516.394075462139</v>
      </c>
      <c r="G46" s="292">
        <f t="shared" si="3"/>
        <v>8469.1073863238216</v>
      </c>
      <c r="H46" s="29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46492</v>
      </c>
      <c r="D47" s="208">
        <f t="shared" si="1"/>
        <v>6260.2205593119461</v>
      </c>
      <c r="E47" s="196">
        <v>0</v>
      </c>
      <c r="F47" s="196">
        <f t="shared" si="2"/>
        <v>2208.886827011876</v>
      </c>
      <c r="G47" s="292">
        <f t="shared" si="3"/>
        <v>8469.1073863238216</v>
      </c>
      <c r="H47" s="29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46522</v>
      </c>
      <c r="D48" s="208">
        <f t="shared" si="1"/>
        <v>6583.613119705069</v>
      </c>
      <c r="E48" s="196">
        <v>0</v>
      </c>
      <c r="F48" s="196">
        <f t="shared" si="2"/>
        <v>1885.494266618753</v>
      </c>
      <c r="G48" s="292">
        <f t="shared" si="3"/>
        <v>8469.1073863238216</v>
      </c>
      <c r="H48" s="29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46553</v>
      </c>
      <c r="D49" s="208">
        <f t="shared" si="1"/>
        <v>6923.7116007804998</v>
      </c>
      <c r="E49" s="196">
        <v>0</v>
      </c>
      <c r="F49" s="196">
        <f t="shared" si="2"/>
        <v>1545.3957855433221</v>
      </c>
      <c r="G49" s="292">
        <f t="shared" si="3"/>
        <v>8469.1073863238216</v>
      </c>
      <c r="H49" s="29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46583</v>
      </c>
      <c r="D50" s="208">
        <f t="shared" si="1"/>
        <v>7281.3790025574863</v>
      </c>
      <c r="E50" s="196">
        <v>0</v>
      </c>
      <c r="F50" s="196">
        <f t="shared" si="2"/>
        <v>1187.7283837663358</v>
      </c>
      <c r="G50" s="292">
        <f t="shared" si="3"/>
        <v>8469.1073863238216</v>
      </c>
      <c r="H50" s="297"/>
      <c r="I50" s="3"/>
    </row>
    <row r="51" spans="1:11" x14ac:dyDescent="0.2">
      <c r="A51" s="60">
        <v>25</v>
      </c>
      <c r="B51" s="215">
        <v>23</v>
      </c>
      <c r="C51" s="212">
        <f t="shared" ca="1" si="0"/>
        <v>46614</v>
      </c>
      <c r="D51" s="208">
        <f t="shared" si="1"/>
        <v>7657.5229061979344</v>
      </c>
      <c r="E51" s="196">
        <v>0</v>
      </c>
      <c r="F51" s="196">
        <f t="shared" si="2"/>
        <v>811.58448012588713</v>
      </c>
      <c r="G51" s="292">
        <f t="shared" si="3"/>
        <v>8469.1073863238216</v>
      </c>
      <c r="H51" s="297"/>
      <c r="I51" s="3"/>
    </row>
    <row r="52" spans="1:11" x14ac:dyDescent="0.2">
      <c r="A52" s="60"/>
      <c r="B52" s="215">
        <v>24</v>
      </c>
      <c r="C52" s="212">
        <f t="shared" ca="1" si="0"/>
        <v>46645</v>
      </c>
      <c r="D52" s="208">
        <f t="shared" si="1"/>
        <v>8053.0977769939436</v>
      </c>
      <c r="E52" s="196">
        <v>0</v>
      </c>
      <c r="F52" s="196">
        <f t="shared" si="2"/>
        <v>416.00960932987874</v>
      </c>
      <c r="G52" s="292">
        <f t="shared" si="3"/>
        <v>8469.1073863238216</v>
      </c>
      <c r="H52" s="297"/>
      <c r="I52" s="3"/>
    </row>
    <row r="53" spans="1:11" x14ac:dyDescent="0.2">
      <c r="A53" s="60"/>
      <c r="B53" s="215">
        <v>25</v>
      </c>
      <c r="C53" s="212">
        <f t="shared" ca="1" si="0"/>
        <v>46675</v>
      </c>
      <c r="D53" s="208">
        <f t="shared" si="1"/>
        <v>0</v>
      </c>
      <c r="E53" s="196">
        <v>0</v>
      </c>
      <c r="F53" s="196">
        <f t="shared" si="2"/>
        <v>0</v>
      </c>
      <c r="G53" s="292">
        <f t="shared" si="3"/>
        <v>0</v>
      </c>
      <c r="H53" s="297"/>
      <c r="I53" s="3"/>
    </row>
    <row r="54" spans="1:11" x14ac:dyDescent="0.2">
      <c r="A54" s="60"/>
      <c r="B54" s="215">
        <v>26</v>
      </c>
      <c r="C54" s="212">
        <f t="shared" ca="1" si="0"/>
        <v>46706</v>
      </c>
      <c r="D54" s="208">
        <f t="shared" si="1"/>
        <v>0</v>
      </c>
      <c r="E54" s="196">
        <v>0</v>
      </c>
      <c r="F54" s="196">
        <f t="shared" si="2"/>
        <v>0</v>
      </c>
      <c r="G54" s="292">
        <f t="shared" si="3"/>
        <v>0</v>
      </c>
      <c r="H54" s="297"/>
      <c r="I54" s="3"/>
    </row>
    <row r="55" spans="1:11" x14ac:dyDescent="0.2">
      <c r="A55" s="60"/>
      <c r="B55" s="215">
        <v>27</v>
      </c>
      <c r="C55" s="212">
        <f t="shared" ca="1" si="0"/>
        <v>46736</v>
      </c>
      <c r="D55" s="208">
        <f t="shared" si="1"/>
        <v>0</v>
      </c>
      <c r="E55" s="196">
        <v>0</v>
      </c>
      <c r="F55" s="196">
        <f t="shared" si="2"/>
        <v>0</v>
      </c>
      <c r="G55" s="292">
        <f t="shared" si="3"/>
        <v>0</v>
      </c>
      <c r="H55" s="297"/>
      <c r="I55" s="3"/>
    </row>
    <row r="56" spans="1:11" x14ac:dyDescent="0.2">
      <c r="A56" s="60"/>
      <c r="B56" s="215">
        <v>28</v>
      </c>
      <c r="C56" s="212">
        <f t="shared" ca="1" si="0"/>
        <v>46767</v>
      </c>
      <c r="D56" s="208">
        <f t="shared" si="1"/>
        <v>0</v>
      </c>
      <c r="E56" s="196">
        <v>0</v>
      </c>
      <c r="F56" s="196">
        <f t="shared" si="2"/>
        <v>0</v>
      </c>
      <c r="G56" s="292">
        <f t="shared" si="3"/>
        <v>0</v>
      </c>
      <c r="H56" s="297"/>
      <c r="I56" s="3"/>
    </row>
    <row r="57" spans="1:11" x14ac:dyDescent="0.2">
      <c r="A57" s="60"/>
      <c r="B57" s="215">
        <v>29</v>
      </c>
      <c r="C57" s="212">
        <f t="shared" ca="1" si="0"/>
        <v>46798</v>
      </c>
      <c r="D57" s="208">
        <f t="shared" si="1"/>
        <v>0</v>
      </c>
      <c r="E57" s="196">
        <v>0</v>
      </c>
      <c r="F57" s="196">
        <f t="shared" si="2"/>
        <v>0</v>
      </c>
      <c r="G57" s="292">
        <f t="shared" si="3"/>
        <v>0</v>
      </c>
      <c r="H57" s="297"/>
      <c r="I57" s="3"/>
    </row>
    <row r="58" spans="1:11" x14ac:dyDescent="0.2">
      <c r="A58" s="60">
        <v>25</v>
      </c>
      <c r="B58" s="215">
        <v>30</v>
      </c>
      <c r="C58" s="212">
        <f t="shared" ca="1" si="0"/>
        <v>46827</v>
      </c>
      <c r="D58" s="208">
        <f t="shared" si="1"/>
        <v>0</v>
      </c>
      <c r="E58" s="196">
        <v>0</v>
      </c>
      <c r="F58" s="196">
        <f t="shared" si="2"/>
        <v>0</v>
      </c>
      <c r="G58" s="292">
        <f t="shared" si="3"/>
        <v>0</v>
      </c>
      <c r="H58" s="29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46858</v>
      </c>
      <c r="D59" s="208">
        <f t="shared" si="1"/>
        <v>0</v>
      </c>
      <c r="E59" s="196">
        <v>0</v>
      </c>
      <c r="F59" s="196">
        <f t="shared" si="2"/>
        <v>0</v>
      </c>
      <c r="G59" s="292">
        <f t="shared" si="3"/>
        <v>0</v>
      </c>
      <c r="H59" s="29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46888</v>
      </c>
      <c r="D60" s="208">
        <f t="shared" si="1"/>
        <v>0</v>
      </c>
      <c r="E60" s="196">
        <v>0</v>
      </c>
      <c r="F60" s="196">
        <f t="shared" si="2"/>
        <v>0</v>
      </c>
      <c r="G60" s="292">
        <f t="shared" si="3"/>
        <v>0</v>
      </c>
      <c r="H60" s="29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46919</v>
      </c>
      <c r="D61" s="208">
        <f t="shared" si="1"/>
        <v>0</v>
      </c>
      <c r="E61" s="196">
        <v>0</v>
      </c>
      <c r="F61" s="196">
        <f t="shared" si="2"/>
        <v>0</v>
      </c>
      <c r="G61" s="292">
        <f t="shared" si="3"/>
        <v>0</v>
      </c>
      <c r="H61" s="29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46949</v>
      </c>
      <c r="D62" s="208">
        <f t="shared" si="1"/>
        <v>0</v>
      </c>
      <c r="E62" s="196">
        <v>0</v>
      </c>
      <c r="F62" s="196">
        <f t="shared" si="2"/>
        <v>0</v>
      </c>
      <c r="G62" s="292">
        <f t="shared" si="3"/>
        <v>0</v>
      </c>
      <c r="H62" s="29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46980</v>
      </c>
      <c r="D63" s="208">
        <f t="shared" si="1"/>
        <v>0</v>
      </c>
      <c r="E63" s="196">
        <v>0</v>
      </c>
      <c r="F63" s="196">
        <f t="shared" si="2"/>
        <v>0</v>
      </c>
      <c r="G63" s="292">
        <f t="shared" si="3"/>
        <v>0</v>
      </c>
      <c r="H63" s="297"/>
      <c r="I63" s="134"/>
      <c r="J63" s="134"/>
    </row>
    <row r="64" spans="1:11" x14ac:dyDescent="0.2">
      <c r="A64" s="60"/>
      <c r="B64" s="215">
        <v>36</v>
      </c>
      <c r="C64" s="212">
        <f t="shared" ca="1" si="0"/>
        <v>47011</v>
      </c>
      <c r="D64" s="208">
        <f t="shared" si="1"/>
        <v>0</v>
      </c>
      <c r="E64" s="196">
        <v>0</v>
      </c>
      <c r="F64" s="196">
        <f t="shared" si="2"/>
        <v>0</v>
      </c>
      <c r="G64" s="292">
        <f t="shared" si="3"/>
        <v>0</v>
      </c>
      <c r="H64" s="297"/>
      <c r="I64" s="134"/>
      <c r="J64" s="134"/>
    </row>
    <row r="65" spans="1:10" x14ac:dyDescent="0.2">
      <c r="A65" s="60"/>
      <c r="B65" s="215">
        <v>37</v>
      </c>
      <c r="C65" s="212">
        <f t="shared" ca="1" si="0"/>
        <v>47041</v>
      </c>
      <c r="D65" s="208">
        <f t="shared" si="1"/>
        <v>0</v>
      </c>
      <c r="E65" s="196">
        <v>0</v>
      </c>
      <c r="F65" s="196">
        <f t="shared" si="2"/>
        <v>0</v>
      </c>
      <c r="G65" s="292">
        <f t="shared" si="3"/>
        <v>0</v>
      </c>
      <c r="H65" s="29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47072</v>
      </c>
      <c r="D66" s="208">
        <f t="shared" si="1"/>
        <v>0</v>
      </c>
      <c r="E66" s="196">
        <v>0</v>
      </c>
      <c r="F66" s="196">
        <f t="shared" si="2"/>
        <v>0</v>
      </c>
      <c r="G66" s="292">
        <f t="shared" si="3"/>
        <v>0</v>
      </c>
      <c r="H66" s="29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47102</v>
      </c>
      <c r="D67" s="208">
        <f t="shared" si="1"/>
        <v>0</v>
      </c>
      <c r="E67" s="196">
        <v>0</v>
      </c>
      <c r="F67" s="196">
        <f t="shared" si="2"/>
        <v>0</v>
      </c>
      <c r="G67" s="292">
        <f t="shared" si="3"/>
        <v>0</v>
      </c>
      <c r="H67" s="29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47133</v>
      </c>
      <c r="D68" s="208">
        <f t="shared" si="1"/>
        <v>0</v>
      </c>
      <c r="E68" s="196">
        <v>0</v>
      </c>
      <c r="F68" s="196">
        <f t="shared" si="2"/>
        <v>0</v>
      </c>
      <c r="G68" s="292">
        <f t="shared" si="3"/>
        <v>0</v>
      </c>
      <c r="H68" s="29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47164</v>
      </c>
      <c r="D69" s="208">
        <f t="shared" si="1"/>
        <v>0</v>
      </c>
      <c r="E69" s="196">
        <v>0</v>
      </c>
      <c r="F69" s="196">
        <f t="shared" si="2"/>
        <v>0</v>
      </c>
      <c r="G69" s="292">
        <f t="shared" si="3"/>
        <v>0</v>
      </c>
      <c r="H69" s="29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47192</v>
      </c>
      <c r="D70" s="208">
        <f t="shared" si="1"/>
        <v>0</v>
      </c>
      <c r="E70" s="196">
        <v>0</v>
      </c>
      <c r="F70" s="196">
        <f t="shared" si="2"/>
        <v>0</v>
      </c>
      <c r="G70" s="292">
        <f t="shared" si="3"/>
        <v>0</v>
      </c>
      <c r="H70" s="29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47223</v>
      </c>
      <c r="D71" s="208">
        <f t="shared" si="1"/>
        <v>0</v>
      </c>
      <c r="E71" s="196">
        <v>0</v>
      </c>
      <c r="F71" s="196">
        <f t="shared" si="2"/>
        <v>0</v>
      </c>
      <c r="G71" s="292">
        <f t="shared" si="3"/>
        <v>0</v>
      </c>
      <c r="H71" s="29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47253</v>
      </c>
      <c r="D72" s="208">
        <f t="shared" si="1"/>
        <v>0</v>
      </c>
      <c r="E72" s="196">
        <v>0</v>
      </c>
      <c r="F72" s="196">
        <f t="shared" si="2"/>
        <v>0</v>
      </c>
      <c r="G72" s="292">
        <f t="shared" si="3"/>
        <v>0</v>
      </c>
      <c r="H72" s="29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47284</v>
      </c>
      <c r="D73" s="208">
        <f t="shared" si="1"/>
        <v>0</v>
      </c>
      <c r="E73" s="196">
        <v>0</v>
      </c>
      <c r="F73" s="196">
        <f t="shared" si="2"/>
        <v>0</v>
      </c>
      <c r="G73" s="292">
        <f t="shared" si="3"/>
        <v>0</v>
      </c>
      <c r="H73" s="29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47314</v>
      </c>
      <c r="D74" s="208">
        <f t="shared" si="1"/>
        <v>0</v>
      </c>
      <c r="E74" s="196">
        <v>0</v>
      </c>
      <c r="F74" s="196">
        <f t="shared" si="2"/>
        <v>0</v>
      </c>
      <c r="G74" s="292">
        <f t="shared" si="3"/>
        <v>0</v>
      </c>
      <c r="H74" s="29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47345</v>
      </c>
      <c r="D75" s="208">
        <f t="shared" si="1"/>
        <v>0</v>
      </c>
      <c r="E75" s="196">
        <v>0</v>
      </c>
      <c r="F75" s="196">
        <f t="shared" si="2"/>
        <v>0</v>
      </c>
      <c r="G75" s="292">
        <f t="shared" si="3"/>
        <v>0</v>
      </c>
      <c r="H75" s="29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47376</v>
      </c>
      <c r="D76" s="208">
        <f t="shared" si="1"/>
        <v>0</v>
      </c>
      <c r="E76" s="196">
        <v>0</v>
      </c>
      <c r="F76" s="196">
        <f t="shared" si="2"/>
        <v>0</v>
      </c>
      <c r="G76" s="292">
        <f t="shared" si="3"/>
        <v>0</v>
      </c>
      <c r="H76" s="29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47406</v>
      </c>
      <c r="D77" s="208">
        <f t="shared" si="1"/>
        <v>0</v>
      </c>
      <c r="E77" s="196">
        <v>0</v>
      </c>
      <c r="F77" s="196">
        <f t="shared" si="2"/>
        <v>0</v>
      </c>
      <c r="G77" s="292">
        <f t="shared" si="3"/>
        <v>0</v>
      </c>
      <c r="H77" s="29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47437</v>
      </c>
      <c r="D78" s="208">
        <f t="shared" si="1"/>
        <v>0</v>
      </c>
      <c r="E78" s="196">
        <v>0</v>
      </c>
      <c r="F78" s="196">
        <f t="shared" si="2"/>
        <v>0</v>
      </c>
      <c r="G78" s="292">
        <f t="shared" si="3"/>
        <v>0</v>
      </c>
      <c r="H78" s="29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47467</v>
      </c>
      <c r="D79" s="208">
        <f t="shared" si="1"/>
        <v>0</v>
      </c>
      <c r="E79" s="196">
        <v>0</v>
      </c>
      <c r="F79" s="196">
        <f t="shared" si="2"/>
        <v>0</v>
      </c>
      <c r="G79" s="292">
        <f t="shared" si="3"/>
        <v>0</v>
      </c>
      <c r="H79" s="29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47498</v>
      </c>
      <c r="D80" s="208">
        <f t="shared" si="1"/>
        <v>0</v>
      </c>
      <c r="E80" s="196">
        <v>0</v>
      </c>
      <c r="F80" s="196">
        <f t="shared" si="2"/>
        <v>0</v>
      </c>
      <c r="G80" s="292">
        <f t="shared" si="3"/>
        <v>0</v>
      </c>
      <c r="H80" s="29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47529</v>
      </c>
      <c r="D81" s="208">
        <f t="shared" si="1"/>
        <v>0</v>
      </c>
      <c r="E81" s="196">
        <v>0</v>
      </c>
      <c r="F81" s="196">
        <f t="shared" si="2"/>
        <v>0</v>
      </c>
      <c r="G81" s="292">
        <f t="shared" si="3"/>
        <v>0</v>
      </c>
      <c r="H81" s="29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47557</v>
      </c>
      <c r="D82" s="208">
        <f t="shared" si="1"/>
        <v>0</v>
      </c>
      <c r="E82" s="196">
        <v>0</v>
      </c>
      <c r="F82" s="196">
        <f t="shared" si="2"/>
        <v>0</v>
      </c>
      <c r="G82" s="292">
        <f t="shared" si="3"/>
        <v>0</v>
      </c>
      <c r="H82" s="29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47588</v>
      </c>
      <c r="D83" s="208">
        <f t="shared" si="1"/>
        <v>0</v>
      </c>
      <c r="E83" s="196">
        <v>0</v>
      </c>
      <c r="F83" s="196">
        <f t="shared" si="2"/>
        <v>0</v>
      </c>
      <c r="G83" s="292">
        <f t="shared" si="3"/>
        <v>0</v>
      </c>
      <c r="H83" s="29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47618</v>
      </c>
      <c r="D84" s="208">
        <f t="shared" si="1"/>
        <v>0</v>
      </c>
      <c r="E84" s="196">
        <v>0</v>
      </c>
      <c r="F84" s="196">
        <f t="shared" si="2"/>
        <v>0</v>
      </c>
      <c r="G84" s="292">
        <f t="shared" si="3"/>
        <v>0</v>
      </c>
      <c r="H84" s="29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47649</v>
      </c>
      <c r="D85" s="208">
        <f t="shared" si="1"/>
        <v>0</v>
      </c>
      <c r="E85" s="196">
        <v>0</v>
      </c>
      <c r="F85" s="196">
        <f t="shared" si="2"/>
        <v>0</v>
      </c>
      <c r="G85" s="292">
        <f t="shared" si="3"/>
        <v>0</v>
      </c>
      <c r="H85" s="29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47679</v>
      </c>
      <c r="D86" s="208">
        <f t="shared" si="1"/>
        <v>0</v>
      </c>
      <c r="E86" s="196">
        <v>0</v>
      </c>
      <c r="F86" s="196">
        <f t="shared" si="2"/>
        <v>0</v>
      </c>
      <c r="G86" s="292">
        <f t="shared" si="3"/>
        <v>0</v>
      </c>
      <c r="H86" s="29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47710</v>
      </c>
      <c r="D87" s="208">
        <f t="shared" si="1"/>
        <v>0</v>
      </c>
      <c r="E87" s="196">
        <v>0</v>
      </c>
      <c r="F87" s="196">
        <f t="shared" si="2"/>
        <v>0</v>
      </c>
      <c r="G87" s="292">
        <f t="shared" si="3"/>
        <v>0</v>
      </c>
      <c r="H87" s="29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47741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6">
        <f>SUM(D29:D88)</f>
        <v>115000</v>
      </c>
      <c r="E89" s="206">
        <f>SUM(E29:E88)</f>
        <v>0</v>
      </c>
      <c r="F89" s="206">
        <f>SUM(F29:F88)</f>
        <v>88258.577271771763</v>
      </c>
      <c r="G89" s="298">
        <f>SUM(G29:H88)</f>
        <v>203258.57727177179</v>
      </c>
      <c r="H89" s="29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RyMtt/wEDDwZYPCiZaYj4BxfDItGwtZIqjvyGo/IzapsUo2j8wFmMrl7fogBjy3iDkTT4GflDvS2Wb1DC9uTkQ==" saltValue="q6jv75qWccI6D+KRJ9JAcw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800-000000000000}">
      <formula1>$K$13:$K$16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N11"/>
  <sheetViews>
    <sheetView zoomScale="85" zoomScaleNormal="85" workbookViewId="0">
      <selection activeCell="C21" sqref="C21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5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95</v>
      </c>
      <c r="B4" s="226">
        <v>500000</v>
      </c>
      <c r="C4" s="226">
        <v>60</v>
      </c>
      <c r="D4" s="227">
        <v>0.79990000000000006</v>
      </c>
      <c r="E4" s="227">
        <v>0</v>
      </c>
      <c r="F4" s="227">
        <v>0</v>
      </c>
      <c r="G4" s="226" t="str">
        <f t="shared" ref="G4:G11" si="0">I$2&amp;" "&amp;B4&amp;" "&amp;H$2</f>
        <v>max. 500000 грн.</v>
      </c>
      <c r="H4" s="226">
        <f t="shared" ref="H4:H11" si="1">B4+B4*E4</f>
        <v>500000</v>
      </c>
      <c r="I4" s="226"/>
      <c r="J4" s="226">
        <v>4</v>
      </c>
      <c r="K4" s="228">
        <f t="shared" ref="K4:K11" si="2">D4/12/(1-1/POWER(1+D4/12,C4))*H4+H4*F4</f>
        <v>34037.833437115034</v>
      </c>
      <c r="L4" s="229">
        <v>0</v>
      </c>
      <c r="M4" s="230">
        <v>0</v>
      </c>
      <c r="N4" s="226">
        <v>5000</v>
      </c>
    </row>
    <row r="5" spans="1:14" x14ac:dyDescent="0.2">
      <c r="A5" s="226" t="s">
        <v>96</v>
      </c>
      <c r="B5" s="226">
        <v>500000</v>
      </c>
      <c r="C5" s="226">
        <v>36</v>
      </c>
      <c r="D5" s="227">
        <v>0.79990000000000006</v>
      </c>
      <c r="E5" s="227">
        <v>0</v>
      </c>
      <c r="F5" s="227">
        <v>0</v>
      </c>
      <c r="G5" s="226" t="str">
        <f t="shared" si="0"/>
        <v>max. 500000 грн.</v>
      </c>
      <c r="H5" s="226">
        <f t="shared" si="1"/>
        <v>500000</v>
      </c>
      <c r="I5" s="226"/>
      <c r="J5" s="226">
        <v>4</v>
      </c>
      <c r="K5" s="228">
        <f t="shared" si="2"/>
        <v>36949.020423363669</v>
      </c>
      <c r="L5" s="229">
        <v>0</v>
      </c>
      <c r="M5" s="230">
        <v>0</v>
      </c>
      <c r="N5" s="226">
        <v>5000</v>
      </c>
    </row>
    <row r="6" spans="1:14" x14ac:dyDescent="0.2">
      <c r="A6" s="226" t="s">
        <v>97</v>
      </c>
      <c r="B6" s="226">
        <v>500000</v>
      </c>
      <c r="C6" s="226">
        <v>24</v>
      </c>
      <c r="D6" s="227">
        <v>0.79990000000000006</v>
      </c>
      <c r="E6" s="227">
        <v>0</v>
      </c>
      <c r="F6" s="227">
        <v>0</v>
      </c>
      <c r="G6" s="226" t="str">
        <f t="shared" si="0"/>
        <v>max. 500000 грн.</v>
      </c>
      <c r="H6" s="226">
        <f t="shared" si="1"/>
        <v>500000</v>
      </c>
      <c r="I6" s="226"/>
      <c r="J6" s="226">
        <v>4</v>
      </c>
      <c r="K6" s="228">
        <f t="shared" si="2"/>
        <v>42323.622570166532</v>
      </c>
      <c r="L6" s="229">
        <v>0</v>
      </c>
      <c r="M6" s="230">
        <v>0</v>
      </c>
      <c r="N6" s="226">
        <v>5000</v>
      </c>
    </row>
    <row r="7" spans="1:14" x14ac:dyDescent="0.2">
      <c r="A7" s="226" t="s">
        <v>98</v>
      </c>
      <c r="B7" s="226">
        <v>500000</v>
      </c>
      <c r="C7" s="226">
        <v>12</v>
      </c>
      <c r="D7" s="227">
        <v>0.79990000000000006</v>
      </c>
      <c r="E7" s="227">
        <v>0</v>
      </c>
      <c r="F7" s="227">
        <v>0</v>
      </c>
      <c r="G7" s="226" t="str">
        <f t="shared" si="0"/>
        <v>max. 500000 грн.</v>
      </c>
      <c r="H7" s="226">
        <f t="shared" si="1"/>
        <v>500000</v>
      </c>
      <c r="I7" s="226"/>
      <c r="J7" s="226">
        <v>6</v>
      </c>
      <c r="K7" s="228">
        <f t="shared" si="2"/>
        <v>61834.592737837185</v>
      </c>
      <c r="L7" s="229">
        <v>0</v>
      </c>
      <c r="M7" s="230">
        <v>0</v>
      </c>
      <c r="N7" s="226">
        <v>5000</v>
      </c>
    </row>
    <row r="8" spans="1:14" x14ac:dyDescent="0.2">
      <c r="A8" s="226" t="s">
        <v>99</v>
      </c>
      <c r="B8" s="226">
        <v>434782.61</v>
      </c>
      <c r="C8" s="226">
        <v>60</v>
      </c>
      <c r="D8" s="227">
        <v>0.63990000000000002</v>
      </c>
      <c r="E8" s="227">
        <v>0.15</v>
      </c>
      <c r="F8" s="227">
        <v>0</v>
      </c>
      <c r="G8" s="226" t="str">
        <f t="shared" si="0"/>
        <v>max. 434782,61 грн.</v>
      </c>
      <c r="H8" s="226">
        <f t="shared" si="1"/>
        <v>500000.00150000001</v>
      </c>
      <c r="I8" s="226"/>
      <c r="J8" s="226">
        <v>4</v>
      </c>
      <c r="K8" s="228">
        <f t="shared" si="2"/>
        <v>27897.960790918671</v>
      </c>
      <c r="L8" s="229">
        <v>0</v>
      </c>
      <c r="M8" s="230">
        <v>0</v>
      </c>
      <c r="N8" s="226">
        <v>5000</v>
      </c>
    </row>
    <row r="9" spans="1:14" x14ac:dyDescent="0.2">
      <c r="A9" s="226" t="s">
        <v>100</v>
      </c>
      <c r="B9" s="226">
        <v>434782.61</v>
      </c>
      <c r="C9" s="226">
        <v>36</v>
      </c>
      <c r="D9" s="227">
        <v>0.63990000000000002</v>
      </c>
      <c r="E9" s="227">
        <v>0.15</v>
      </c>
      <c r="F9" s="227">
        <v>0</v>
      </c>
      <c r="G9" s="226" t="str">
        <f t="shared" si="0"/>
        <v>max. 434782,61 грн.</v>
      </c>
      <c r="H9" s="226">
        <f t="shared" si="1"/>
        <v>500000.00150000001</v>
      </c>
      <c r="I9" s="226"/>
      <c r="J9" s="226">
        <v>4</v>
      </c>
      <c r="K9" s="228">
        <f t="shared" si="2"/>
        <v>31519.038758075134</v>
      </c>
      <c r="L9" s="229">
        <v>0</v>
      </c>
      <c r="M9" s="230">
        <v>0</v>
      </c>
      <c r="N9" s="226">
        <v>5000</v>
      </c>
    </row>
    <row r="10" spans="1:14" x14ac:dyDescent="0.2">
      <c r="A10" s="226" t="s">
        <v>101</v>
      </c>
      <c r="B10" s="226">
        <v>434782.61</v>
      </c>
      <c r="C10" s="226">
        <v>24</v>
      </c>
      <c r="D10" s="227">
        <v>0.61990000000000001</v>
      </c>
      <c r="E10" s="227">
        <v>0.15</v>
      </c>
      <c r="F10" s="227">
        <v>0</v>
      </c>
      <c r="G10" s="226" t="str">
        <f t="shared" si="0"/>
        <v>max. 434782,61 грн.</v>
      </c>
      <c r="H10" s="226">
        <f t="shared" si="1"/>
        <v>500000.00150000001</v>
      </c>
      <c r="I10" s="226"/>
      <c r="J10" s="226">
        <v>4</v>
      </c>
      <c r="K10" s="228">
        <f t="shared" si="2"/>
        <v>36822.206137961504</v>
      </c>
      <c r="L10" s="229">
        <v>0</v>
      </c>
      <c r="M10" s="230">
        <v>0</v>
      </c>
      <c r="N10" s="226">
        <v>5000</v>
      </c>
    </row>
    <row r="11" spans="1:14" x14ac:dyDescent="0.2">
      <c r="A11" s="226" t="s">
        <v>102</v>
      </c>
      <c r="B11" s="226">
        <v>434782.61</v>
      </c>
      <c r="C11" s="226">
        <v>12</v>
      </c>
      <c r="D11" s="227">
        <v>0.51990000000000003</v>
      </c>
      <c r="E11" s="227">
        <v>0.15</v>
      </c>
      <c r="F11" s="227">
        <v>0</v>
      </c>
      <c r="G11" s="226" t="str">
        <f t="shared" si="0"/>
        <v>max. 434782,61 грн.</v>
      </c>
      <c r="H11" s="226">
        <f t="shared" si="1"/>
        <v>500000.00150000001</v>
      </c>
      <c r="I11" s="226"/>
      <c r="J11" s="226">
        <v>6</v>
      </c>
      <c r="K11" s="228">
        <f t="shared" si="2"/>
        <v>54308.964400644654</v>
      </c>
      <c r="L11" s="229">
        <v>0</v>
      </c>
      <c r="M11" s="230">
        <v>0</v>
      </c>
      <c r="N11" s="226">
        <v>5000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14" t="s">
        <v>21</v>
      </c>
      <c r="B1" s="315"/>
      <c r="C1" s="315"/>
      <c r="D1" s="316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9" t="s">
        <v>91</v>
      </c>
      <c r="B3" s="310"/>
      <c r="C3" s="310"/>
      <c r="D3" s="311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9" t="s">
        <v>92</v>
      </c>
      <c r="B5" s="310"/>
      <c r="C5" s="310"/>
      <c r="D5" s="311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9" t="s">
        <v>71</v>
      </c>
      <c r="B7" s="310"/>
      <c r="C7" s="310"/>
      <c r="D7" s="311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9" t="s">
        <v>72</v>
      </c>
      <c r="B9" s="310"/>
      <c r="C9" s="310"/>
      <c r="D9" s="311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9" t="s">
        <v>85</v>
      </c>
      <c r="B11" s="310"/>
      <c r="C11" s="310"/>
      <c r="D11" s="311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9" t="s">
        <v>84</v>
      </c>
      <c r="B14" s="310"/>
      <c r="C14" s="310"/>
      <c r="D14" s="311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9" t="s">
        <v>78</v>
      </c>
      <c r="B16" s="310"/>
      <c r="C16" s="310"/>
      <c r="D16" s="311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9" t="s">
        <v>83</v>
      </c>
      <c r="B18" s="310"/>
      <c r="C18" s="310"/>
      <c r="D18" s="311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12" t="s">
        <v>7</v>
      </c>
      <c r="B22" s="313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66" t="s">
        <v>24</v>
      </c>
      <c r="B23" s="26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66" t="s">
        <v>8</v>
      </c>
      <c r="B24" s="26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66" t="s">
        <v>22</v>
      </c>
      <c r="B25" s="26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66" t="s">
        <v>23</v>
      </c>
      <c r="B26" s="26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07" t="s">
        <v>77</v>
      </c>
      <c r="B29" s="308"/>
      <c r="C29" s="308"/>
      <c r="D29" s="308"/>
      <c r="E29" s="308"/>
      <c r="F29" s="308"/>
      <c r="G29" s="220"/>
    </row>
    <row r="30" spans="1:8" ht="45.75" thickBot="1" x14ac:dyDescent="0.25">
      <c r="A30" s="303" t="s">
        <v>4</v>
      </c>
      <c r="B30" s="304"/>
      <c r="C30" s="104" t="s">
        <v>75</v>
      </c>
      <c r="D30" s="104" t="s">
        <v>73</v>
      </c>
      <c r="E30" s="104" t="s">
        <v>74</v>
      </c>
      <c r="F30" s="305" t="s">
        <v>76</v>
      </c>
      <c r="G30" s="306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02"/>
      <c r="E32" s="302"/>
      <c r="F32" s="302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9</vt:i4>
      </vt:variant>
    </vt:vector>
  </HeadingPairs>
  <TitlesOfParts>
    <vt:vector size="21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Позитив_Нестандарт</vt:lpstr>
      <vt:lpstr>Від 200 000 до 500 000</vt:lpstr>
      <vt:lpstr>Позитив_Нестандарт СК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Позитив_Нестандарт!Область_друку</vt:lpstr>
      <vt:lpstr>'Позитив_Нестандарт СК'!Область_друку</vt:lpstr>
      <vt:lpstr>Простий!Область_друку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2025-09-15T13:21:57Z</dcterms:modified>
</cp:coreProperties>
</file>