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Стабільний\Стабільний СК з 14.08.2024\"/>
    </mc:Choice>
  </mc:AlternateContent>
  <xr:revisionPtr revIDLastSave="0" documentId="13_ncr:1_{653EF6EE-9A3A-4E29-8AAF-7BC1757C9FAD}" xr6:coauthVersionLast="47" xr6:coauthVersionMax="47" xr10:uidLastSave="{00000000-0000-0000-0000-000000000000}"/>
  <workbookProtection workbookAlgorithmName="SHA-512" workbookHashValue="Sbt1Ek/DexfxvZJuvkRZzcnpUgg8WFo5nubw/acdw9BStY7tW3uz/Ez11+veDALd9KkMMREaC+Fiu/BdOXM7WA==" workbookSaltValue="KDLN+3lIx6u50eIOjT5Anw==" workbookSpinCount="100000" lockStructure="1"/>
  <bookViews>
    <workbookView xWindow="-120" yWindow="-120" windowWidth="29040" windowHeight="15990" tabRatio="863" firstSheet="6" activeTab="6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Вигідний_зі знижкою-10%" sheetId="187" state="hidden" r:id="rId6"/>
    <sheet name="Стабільний СК" sheetId="188" r:id="rId7"/>
    <sheet name="Від 200 000 до 500 000" sheetId="189" state="hidden" r:id="rId8"/>
    <sheet name="Лист2" sheetId="165" state="hidden" r:id="rId9"/>
    <sheet name="Назви" sheetId="161" state="hidden" r:id="rId10"/>
    <sheet name="Лист3" sheetId="191" state="hidden" r:id="rId11"/>
  </sheets>
  <definedNames>
    <definedName name="_xlnm._FilterDatabase" localSheetId="5" hidden="1">'Вигідний_зі знижкою-10%'!$A$29:$G$91</definedName>
    <definedName name="_xlnm._FilterDatabase" localSheetId="4" hidden="1">'Від 1 000 до 29 999'!$A$27:$H$89</definedName>
    <definedName name="_xlnm._FilterDatabase" localSheetId="7" hidden="1">'Від 200 000 до 500 000'!$A$27:$H$89</definedName>
    <definedName name="_xlnm._FilterDatabase" localSheetId="6" hidden="1">'Стабільний СК'!$A$27:$H$89</definedName>
    <definedName name="_xlnm.Print_Area" localSheetId="2">'BIG CASH'!$A$1:$I$95</definedName>
    <definedName name="_xlnm.Print_Area" localSheetId="5">'Вигідний_зі знижкою-10%'!$A$1:$J$94</definedName>
    <definedName name="_xlnm.Print_Area" localSheetId="4">'Від 1 000 до 29 999'!$A$1:$L$92</definedName>
    <definedName name="_xlnm.Print_Area" localSheetId="7">'Від 200 000 до 500 000'!$A$1:$J$92</definedName>
    <definedName name="_xlnm.Print_Area" localSheetId="0">Головна!$B$4:$Q$22</definedName>
    <definedName name="_xlnm.Print_Area" localSheetId="3">Пенсійний!$A$1:$I$95</definedName>
    <definedName name="_xlnm.Print_Area" localSheetId="1">Простий!$A$1:$I$95</definedName>
    <definedName name="_xlnm.Print_Area" localSheetId="6">'Стабільний СК'!$A$1:$I$92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8" l="1"/>
  <c r="H3" i="188"/>
  <c r="K14" i="188"/>
  <c r="K15" i="188"/>
  <c r="K10" i="188"/>
  <c r="K11" i="188"/>
  <c r="K12" i="188"/>
  <c r="K9" i="188"/>
  <c r="H4" i="165"/>
  <c r="K4" i="165" s="1"/>
  <c r="G4" i="165"/>
  <c r="F15" i="188" l="1"/>
  <c r="F13" i="188"/>
  <c r="F11" i="188"/>
  <c r="F9" i="188"/>
  <c r="F2" i="188"/>
  <c r="E2" i="188"/>
  <c r="K13" i="188"/>
  <c r="H7" i="165"/>
  <c r="K7" i="165" s="1"/>
  <c r="G7" i="165"/>
  <c r="H6" i="165"/>
  <c r="K6" i="165" s="1"/>
  <c r="G6" i="165"/>
  <c r="H5" i="165"/>
  <c r="K5" i="165" s="1"/>
  <c r="G5" i="165"/>
  <c r="K19" i="188" l="1"/>
  <c r="K20" i="188"/>
  <c r="K21" i="188"/>
  <c r="K18" i="188"/>
  <c r="H3" i="187"/>
  <c r="F15" i="187"/>
  <c r="F13" i="187"/>
  <c r="F11" i="187"/>
  <c r="B11" i="187"/>
  <c r="E11" i="187"/>
  <c r="D11" i="187"/>
  <c r="C11" i="187"/>
  <c r="F11" i="189" l="1"/>
  <c r="F15" i="189"/>
  <c r="K44" i="189" l="1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K44" i="188"/>
  <c r="K43" i="188"/>
  <c r="K42" i="188"/>
  <c r="K41" i="188"/>
  <c r="K40" i="188"/>
  <c r="K39" i="188"/>
  <c r="K38" i="188"/>
  <c r="K37" i="188"/>
  <c r="K36" i="188"/>
  <c r="K35" i="188"/>
  <c r="K34" i="188"/>
  <c r="K33" i="188"/>
  <c r="K32" i="188"/>
  <c r="K31" i="188"/>
  <c r="K30" i="188"/>
  <c r="K29" i="188"/>
  <c r="K28" i="188"/>
  <c r="C29" i="188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K27" i="188"/>
  <c r="G27" i="188"/>
  <c r="F27" i="188"/>
  <c r="E27" i="188"/>
  <c r="D27" i="188"/>
  <c r="C27" i="188"/>
  <c r="K26" i="188"/>
  <c r="B26" i="188"/>
  <c r="K24" i="188"/>
  <c r="B24" i="188"/>
  <c r="K23" i="188"/>
  <c r="K22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K17" i="188"/>
  <c r="K16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C30" i="187"/>
  <c r="J29" i="187"/>
  <c r="F29" i="187"/>
  <c r="E29" i="187"/>
  <c r="D29" i="187"/>
  <c r="C29" i="187"/>
  <c r="B28" i="187"/>
  <c r="B26" i="187"/>
  <c r="E24" i="187"/>
  <c r="D24" i="187"/>
  <c r="C24" i="187"/>
  <c r="B24" i="187"/>
  <c r="K23" i="187"/>
  <c r="K22" i="187"/>
  <c r="E22" i="187"/>
  <c r="D22" i="187"/>
  <c r="C22" i="187"/>
  <c r="B22" i="187"/>
  <c r="K21" i="187"/>
  <c r="K20" i="187"/>
  <c r="E20" i="187"/>
  <c r="D20" i="187"/>
  <c r="C20" i="187"/>
  <c r="B20" i="187"/>
  <c r="K19" i="187"/>
  <c r="K18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E18" i="187" l="1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E19" i="187" l="1"/>
  <c r="D62" i="187" s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D78" i="187" l="1"/>
  <c r="D64" i="187"/>
  <c r="D80" i="187"/>
  <c r="D69" i="187"/>
  <c r="D85" i="187"/>
  <c r="D55" i="187"/>
  <c r="D71" i="187"/>
  <c r="D83" i="187"/>
  <c r="F20" i="187"/>
  <c r="D32" i="187"/>
  <c r="D53" i="187"/>
  <c r="D31" i="187"/>
  <c r="F7" i="187"/>
  <c r="D63" i="187"/>
  <c r="D52" i="187"/>
  <c r="D68" i="187"/>
  <c r="D84" i="187"/>
  <c r="D79" i="187"/>
  <c r="D57" i="187"/>
  <c r="D73" i="187"/>
  <c r="D89" i="187"/>
  <c r="D50" i="187"/>
  <c r="D66" i="187"/>
  <c r="D82" i="187"/>
  <c r="D75" i="187"/>
  <c r="D56" i="187"/>
  <c r="D72" i="187"/>
  <c r="D88" i="187"/>
  <c r="D33" i="187"/>
  <c r="D61" i="187"/>
  <c r="D77" i="187"/>
  <c r="D51" i="187"/>
  <c r="D54" i="187"/>
  <c r="D70" i="187"/>
  <c r="D86" i="187"/>
  <c r="D87" i="187"/>
  <c r="D60" i="187"/>
  <c r="D76" i="187"/>
  <c r="D59" i="187"/>
  <c r="D49" i="187"/>
  <c r="D65" i="187"/>
  <c r="D81" i="187"/>
  <c r="D67" i="187"/>
  <c r="D58" i="187"/>
  <c r="D74" i="187"/>
  <c r="D90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E89" i="188" l="1"/>
  <c r="D88" i="189" l="1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E90" i="187"/>
  <c r="E86" i="187"/>
  <c r="F86" i="187" s="1"/>
  <c r="E82" i="187"/>
  <c r="F82" i="187" s="1"/>
  <c r="E78" i="187"/>
  <c r="F78" i="187" s="1"/>
  <c r="E74" i="187"/>
  <c r="F74" i="187" s="1"/>
  <c r="E70" i="187"/>
  <c r="F70" i="187" s="1"/>
  <c r="E66" i="187"/>
  <c r="F66" i="187" s="1"/>
  <c r="E62" i="187"/>
  <c r="F62" i="187" s="1"/>
  <c r="E58" i="187"/>
  <c r="F58" i="187" s="1"/>
  <c r="E54" i="187"/>
  <c r="F54" i="187" s="1"/>
  <c r="E50" i="187"/>
  <c r="F50" i="187" s="1"/>
  <c r="E89" i="187"/>
  <c r="F89" i="187" s="1"/>
  <c r="E85" i="187"/>
  <c r="F85" i="187" s="1"/>
  <c r="E81" i="187"/>
  <c r="F81" i="187" s="1"/>
  <c r="E77" i="187"/>
  <c r="F77" i="187" s="1"/>
  <c r="E73" i="187"/>
  <c r="F73" i="187" s="1"/>
  <c r="E69" i="187"/>
  <c r="F69" i="187" s="1"/>
  <c r="E65" i="187"/>
  <c r="F65" i="187" s="1"/>
  <c r="E61" i="187"/>
  <c r="F61" i="187" s="1"/>
  <c r="E57" i="187"/>
  <c r="F57" i="187" s="1"/>
  <c r="E53" i="187"/>
  <c r="F53" i="187" s="1"/>
  <c r="E49" i="187"/>
  <c r="F49" i="187" s="1"/>
  <c r="E33" i="187"/>
  <c r="F33" i="187" s="1"/>
  <c r="E88" i="187"/>
  <c r="F88" i="187" s="1"/>
  <c r="E84" i="187"/>
  <c r="F84" i="187" s="1"/>
  <c r="E80" i="187"/>
  <c r="F80" i="187" s="1"/>
  <c r="E76" i="187"/>
  <c r="F76" i="187" s="1"/>
  <c r="E72" i="187"/>
  <c r="F72" i="187" s="1"/>
  <c r="E68" i="187"/>
  <c r="F68" i="187" s="1"/>
  <c r="E64" i="187"/>
  <c r="F64" i="187" s="1"/>
  <c r="E60" i="187"/>
  <c r="F60" i="187" s="1"/>
  <c r="E56" i="187"/>
  <c r="F56" i="187" s="1"/>
  <c r="E52" i="187"/>
  <c r="F52" i="187" s="1"/>
  <c r="E32" i="187"/>
  <c r="F32" i="187" s="1"/>
  <c r="E87" i="187"/>
  <c r="F87" i="187" s="1"/>
  <c r="E83" i="187"/>
  <c r="F83" i="187" s="1"/>
  <c r="E79" i="187"/>
  <c r="F79" i="187" s="1"/>
  <c r="E75" i="187"/>
  <c r="F75" i="187" s="1"/>
  <c r="E71" i="187"/>
  <c r="F71" i="187" s="1"/>
  <c r="E67" i="187"/>
  <c r="F67" i="187" s="1"/>
  <c r="E63" i="187"/>
  <c r="F63" i="187" s="1"/>
  <c r="E59" i="187"/>
  <c r="F59" i="187" s="1"/>
  <c r="E55" i="187"/>
  <c r="F55" i="187" s="1"/>
  <c r="E51" i="187"/>
  <c r="F51" i="187" s="1"/>
  <c r="F90" i="187"/>
  <c r="F31" i="187" l="1"/>
  <c r="F8" i="187" l="1"/>
  <c r="D36" i="187" s="1"/>
  <c r="D41" i="187" l="1"/>
  <c r="D45" i="187"/>
  <c r="D43" i="187"/>
  <c r="E46" i="187"/>
  <c r="E42" i="187"/>
  <c r="E38" i="187"/>
  <c r="E34" i="187"/>
  <c r="D37" i="187"/>
  <c r="E48" i="187"/>
  <c r="E44" i="187"/>
  <c r="E40" i="187"/>
  <c r="E36" i="187"/>
  <c r="F36" i="187" s="1"/>
  <c r="D47" i="187"/>
  <c r="D39" i="187"/>
  <c r="D35" i="187"/>
  <c r="E47" i="187"/>
  <c r="D46" i="187"/>
  <c r="E43" i="187"/>
  <c r="D42" i="187"/>
  <c r="E39" i="187"/>
  <c r="D38" i="187"/>
  <c r="E35" i="187"/>
  <c r="D34" i="187"/>
  <c r="D48" i="187"/>
  <c r="E45" i="187"/>
  <c r="D44" i="187"/>
  <c r="F44" i="187" s="1"/>
  <c r="E41" i="187"/>
  <c r="F41" i="187" s="1"/>
  <c r="D40" i="187"/>
  <c r="E37" i="187"/>
  <c r="F45" i="187" l="1"/>
  <c r="F37" i="187"/>
  <c r="F46" i="187"/>
  <c r="F42" i="187"/>
  <c r="F43" i="187"/>
  <c r="F40" i="187"/>
  <c r="F48" i="187"/>
  <c r="F47" i="187"/>
  <c r="F38" i="187"/>
  <c r="F39" i="187"/>
  <c r="F34" i="187"/>
  <c r="D91" i="187"/>
  <c r="F35" i="187"/>
  <c r="E91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<sst xmlns="http://schemas.openxmlformats.org/spreadsheetml/2006/main" count="176" uniqueCount="99">
  <si>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</si>
  <si>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</si>
  <si>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</si>
  <si>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</si>
  <si>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</si>
  <si>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</si>
  <si>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</si>
  <si>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</si>
  <si>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</si>
  <si>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</si>
  <si>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</si>
  <si>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</si>
  <si>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</si>
  <si>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</si>
  <si>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</si>
  <si>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</si>
  <si>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</si>
  <si>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</si>
  <si>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</si>
  <si>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</si>
  <si>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</si>
  <si>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</si>
  <si>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</si>
  <si>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</si>
  <si>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</si>
  <si>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</si>
  <si>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</si>
  <si>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</si>
  <si>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</si>
  <si>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</si>
  <si>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</si>
  <si>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</si>
  <si>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</si>
  <si>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</si>
  <si>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</si>
  <si>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</si>
  <si>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</si>
  <si>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</si>
  <si>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</si>
  <si>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</si>
  <si>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</si>
  <si>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</si>
  <si>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</si>
  <si>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</si>
  <si>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</si>
  <si>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</si>
  <si>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</si>
  <si>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</si>
  <si>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</si>
  <si>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</si>
  <si>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</si>
  <si>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</si>
  <si>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</si>
  <si>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</si>
  <si>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</si>
  <si>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</si>
  <si>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</si>
  <si>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</si>
  <si>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</si>
  <si>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</si>
  <si>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</si>
  <si>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</si>
  <si>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</si>
  <si>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</si>
  <si>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</si>
  <si>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</si>
  <si>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</si>
  <si>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</si>
  <si>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</si>
  <si>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</si>
  <si>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</si>
  <si>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</si>
  <si>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</si>
  <si>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</si>
  <si>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</si>
  <si>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</si>
  <si>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</si>
  <si>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</si>
  <si>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</si>
  <si>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</si>
  <si>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</si>
  <si>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</si>
  <si>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</si>
  <si>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</si>
  <si>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</si>
  <si>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</si>
  <si>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Вигідний, 36 міс. </t>
  </si>
  <si>
    <t>max. 50000 грн.</t>
  </si>
  <si>
    <t xml:space="preserve">Вигідний, 24 міс. </t>
  </si>
  <si>
    <t xml:space="preserve">Вигідний, 18 міс. </t>
  </si>
  <si>
    <t xml:space="preserve">Вигідний, 12 міс. 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</si>
  <si>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</si>
  <si>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</si>
  <si>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</si>
  <si>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</si>
  <si>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>Стабільний СК, 60 міс.</t>
  </si>
  <si>
    <t>Стабільний СК, 36 міс.</t>
  </si>
  <si>
    <t>Стабільний СК, 24 міс.</t>
  </si>
  <si>
    <t>Стабільний СК,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</si>
</sst>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14" fontId="31" fillId="3" borderId="0" xfId="23" applyNumberFormat="1" applyFont="1" applyFill="1"/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13" borderId="1" xfId="0" applyFill="1" applyBorder="1" applyProtection="1">
      <protection hidden="1"/>
    </xf>
    <xf numFmtId="10" fontId="0" fillId="13" borderId="1" xfId="24" applyNumberFormat="1" applyFont="1" applyFill="1" applyBorder="1" applyProtection="1">
      <protection hidden="1"/>
    </xf>
    <xf numFmtId="4" fontId="3" fillId="13" borderId="1" xfId="2" applyNumberFormat="1" applyFill="1" applyBorder="1" applyAlignment="1" applyProtection="1">
      <alignment horizontal="center"/>
      <protection hidden="1"/>
    </xf>
    <xf numFmtId="175" fontId="3" fillId="13" borderId="1" xfId="49" applyNumberFormat="1" applyFont="1" applyFill="1" applyBorder="1" applyAlignment="1">
      <alignment horizontal="center"/>
    </xf>
    <xf numFmtId="176" fontId="3" fillId="13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0" fontId="17" fillId="0" borderId="0" xfId="23" applyNumberFormat="1" applyFont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4" fontId="17" fillId="0" borderId="1" xfId="23" applyNumberFormat="1" applyFont="1" applyBorder="1" applyAlignment="1">
      <alignment horizontal="center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9" xfId="23" applyNumberFormat="1" applyFont="1" applyBorder="1" applyAlignment="1">
      <alignment horizontal="center"/>
    </xf>
    <xf numFmtId="4" fontId="17" fillId="0" borderId="47" xfId="23" applyNumberFormat="1" applyFont="1" applyBorder="1" applyAlignment="1">
      <alignment horizont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deabank.com.ua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66674</xdr:rowOff>
    </xdr:from>
    <xdr:to>
      <xdr:col>3</xdr:col>
      <xdr:colOff>361950</xdr:colOff>
      <xdr:row>3</xdr:row>
      <xdr:rowOff>85724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1" y="66674"/>
          <a:ext cx="1685924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41"/>
    <col min="2" max="2" width="38.28515625" style="141" customWidth="1"/>
    <col min="3" max="3" width="23.7109375" style="141" bestFit="1" customWidth="1"/>
    <col min="4" max="4" width="10.42578125" style="141" hidden="1" customWidth="1"/>
    <col min="5" max="10" width="10.42578125" style="141" customWidth="1"/>
    <col min="11" max="16" width="10.42578125" style="141" hidden="1" customWidth="1"/>
    <col min="17" max="17" width="18.42578125" style="141" customWidth="1"/>
    <col min="18" max="16384" width="9.140625" style="141"/>
  </cols>
  <sheetData>
    <row r="3" spans="2:17" ht="13.5" thickBot="1" x14ac:dyDescent="0.25"/>
    <row r="4" spans="2:17" ht="18.95" customHeight="1" thickBot="1" x14ac:dyDescent="0.25">
      <c r="B4" s="242" t="s">
        <v>49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4"/>
    </row>
    <row r="5" spans="2:17" ht="20.25" customHeight="1" x14ac:dyDescent="0.2">
      <c r="B5" s="245" t="s">
        <v>50</v>
      </c>
      <c r="C5" s="231" t="s">
        <v>42</v>
      </c>
      <c r="D5" s="233" t="s">
        <v>41</v>
      </c>
      <c r="E5" s="234"/>
      <c r="F5" s="234"/>
      <c r="G5" s="234"/>
      <c r="H5" s="234"/>
      <c r="I5" s="234"/>
      <c r="J5" s="234"/>
      <c r="K5" s="235"/>
      <c r="L5" s="235"/>
      <c r="M5" s="235"/>
      <c r="N5" s="235"/>
      <c r="O5" s="235"/>
      <c r="P5" s="236"/>
      <c r="Q5" s="237" t="s">
        <v>45</v>
      </c>
    </row>
    <row r="6" spans="2:17" ht="20.25" customHeight="1" thickBot="1" x14ac:dyDescent="0.25">
      <c r="B6" s="246"/>
      <c r="C6" s="232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38"/>
    </row>
    <row r="7" spans="2:17" x14ac:dyDescent="0.2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39">
        <f>C15+C17+C18+E19+C20+E21</f>
        <v>8400</v>
      </c>
    </row>
    <row r="8" spans="2:17" x14ac:dyDescent="0.2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40"/>
    </row>
    <row r="9" spans="2:17" ht="13.5" thickBot="1" x14ac:dyDescent="0.25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40"/>
    </row>
    <row r="10" spans="2:17" ht="13.5" thickBot="1" x14ac:dyDescent="0.25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41"/>
    </row>
    <row r="15" spans="2:17" x14ac:dyDescent="0.2">
      <c r="B15" s="175" t="s">
        <v>57</v>
      </c>
      <c r="C15" s="176">
        <v>2000</v>
      </c>
      <c r="E15" s="180"/>
    </row>
    <row r="16" spans="2:17" x14ac:dyDescent="0.2">
      <c r="B16" s="175" t="s">
        <v>58</v>
      </c>
      <c r="C16" s="177"/>
      <c r="E16" s="180"/>
    </row>
    <row r="17" spans="2:5" x14ac:dyDescent="0.2">
      <c r="B17" s="178" t="s">
        <v>59</v>
      </c>
      <c r="C17" s="179">
        <v>1000</v>
      </c>
      <c r="E17" s="180"/>
    </row>
    <row r="18" spans="2:5" x14ac:dyDescent="0.2">
      <c r="B18" s="178" t="s">
        <v>60</v>
      </c>
      <c r="C18" s="179">
        <v>1000</v>
      </c>
      <c r="E18" s="180"/>
    </row>
    <row r="19" spans="2:5" x14ac:dyDescent="0.2">
      <c r="B19" s="178" t="s">
        <v>61</v>
      </c>
      <c r="C19" s="179">
        <v>2000</v>
      </c>
      <c r="E19" s="180">
        <f>C19*0.2</f>
        <v>400</v>
      </c>
    </row>
    <row r="20" spans="2:5" x14ac:dyDescent="0.2">
      <c r="B20" s="178" t="s">
        <v>62</v>
      </c>
      <c r="C20" s="179">
        <v>1000</v>
      </c>
      <c r="E20" s="180"/>
    </row>
    <row r="21" spans="2:5" x14ac:dyDescent="0.2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VLOOKUP(Простий!H2,Лист2!A:N,14,FALSE)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49" t="s">
        <v>68</v>
      </c>
      <c r="I2" s="25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" thickBot="1" x14ac:dyDescent="0.25">
      <c r="A5" s="1"/>
      <c r="B5" s="255" t="str">
        <f>Назви!A1</f>
        <v>Cash out, грн.</v>
      </c>
      <c r="C5" s="256"/>
      <c r="D5" s="256"/>
      <c r="E5" s="257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45912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45942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91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45973</v>
      </c>
      <c r="D33" s="31" t="e">
        <f>G16-E32-F32</f>
        <v>#N/A</v>
      </c>
      <c r="E33" s="32" t="e">
        <f>IF(B33&lt;=$F$13,(E$15*(VLOOKUP($H$2,Лист2!$A:$N,12,0)-(B33-1)*VLOOKUP($H$2,Лист2!$A:$N,13,0))),0)*0</f>
        <v>#N/A</v>
      </c>
      <c r="F33" s="184" t="e">
        <f>ROUND((E$15-SUM(D$32:D32))*F$7*30/365,2)*0.1%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46003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46034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46065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46093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46124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46154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46185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46215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46246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46277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46307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si="4"/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46338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4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46368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4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46399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4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46430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4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46458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4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46489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4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46519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4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46550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4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46580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4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46611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4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46642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4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46672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4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46703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4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46733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4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46764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4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46795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4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4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46855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si="4"/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46885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4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46916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4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46946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4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46977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4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47008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4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47038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si="4"/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47069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4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47099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4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47130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4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47161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4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47189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4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47220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4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47250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4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47281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4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47311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4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47342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4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47373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4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47403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4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47434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4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47464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si="4"/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47495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4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47526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4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47554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4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47585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4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47615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4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47646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4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47676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4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47707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4"/>
        <v>#N/A</v>
      </c>
      <c r="H90" s="26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47738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4"/>
        <v>#N/A</v>
      </c>
      <c r="H91" s="281"/>
      <c r="I91" s="134"/>
      <c r="J91" s="134"/>
    </row>
    <row r="92" spans="1:19" ht="16.5" thickBot="1" x14ac:dyDescent="0.25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VLOOKUP('BIG CASH'!H2,Лист2!A:N,14,FALSE)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49" t="s">
        <v>67</v>
      </c>
      <c r="I2" s="25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" thickBot="1" x14ac:dyDescent="0.25">
      <c r="A5" s="1"/>
      <c r="B5" s="255" t="str">
        <f>Назви!A1</f>
        <v>Cash out, грн.</v>
      </c>
      <c r="C5" s="256"/>
      <c r="D5" s="256"/>
      <c r="E5" s="257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25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25">
      <c r="A31" s="1"/>
      <c r="B31" s="112">
        <v>0</v>
      </c>
      <c r="C31" s="131">
        <f ca="1">TODAY()</f>
        <v>45912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">
      <c r="A32" s="1">
        <v>1</v>
      </c>
      <c r="B32" s="129">
        <v>1</v>
      </c>
      <c r="C32" s="136">
        <f ca="1">DATE(YEAR(C31),MONTH(C31)+1,DAY(C31))</f>
        <v>45942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43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45973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46003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">
      <c r="A35" s="1">
        <v>4</v>
      </c>
      <c r="B35" s="128">
        <v>4</v>
      </c>
      <c r="C35" s="132">
        <f t="shared" ca="1" si="5"/>
        <v>46034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46065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46093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46124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46154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46185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46215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46246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46277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46307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ref="G44:G61" si="6">D44+E44+F44</f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46338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6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46368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6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46399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6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46430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6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46458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6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46489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6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46519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6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46550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6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46580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6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46611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6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46642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6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46672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6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46703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6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46733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6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46764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6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46795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6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6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46855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ref="G62:G67" si="7">D62+E62+F62</f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46885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7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46916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7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46946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7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46977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7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47008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7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47038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ref="G68:G81" si="8">D68+E68+F68</f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47069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8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47099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8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47130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8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47161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8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47189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8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47220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8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47250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8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47281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8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47311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8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47342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8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47373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8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47403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8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47434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8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47464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ref="G82:G91" si="9">D82+E82+F82</f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47495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9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47526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9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47554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9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47585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9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47615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9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47646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9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47676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9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47707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9"/>
        <v>#N/A</v>
      </c>
      <c r="H90" s="26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47738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9"/>
        <v>#N/A</v>
      </c>
      <c r="H91" s="281"/>
      <c r="I91" s="134"/>
      <c r="J91" s="134"/>
    </row>
    <row r="92" spans="1:19" ht="16.5" thickBot="1" x14ac:dyDescent="0.25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  <mergeCell ref="B16:E16"/>
    <mergeCell ref="B18:E18"/>
    <mergeCell ref="B20:E20"/>
    <mergeCell ref="B22:C22"/>
    <mergeCell ref="B23:C23"/>
    <mergeCell ref="B5:E5"/>
    <mergeCell ref="B7:E7"/>
    <mergeCell ref="B11:E11"/>
    <mergeCell ref="B9:E9"/>
    <mergeCell ref="B13:E13"/>
    <mergeCell ref="H2:I2"/>
    <mergeCell ref="F3:F4"/>
    <mergeCell ref="H3:I3"/>
    <mergeCell ref="G40:H40"/>
    <mergeCell ref="G41:H41"/>
    <mergeCell ref="G37:H37"/>
    <mergeCell ref="G38:H38"/>
    <mergeCell ref="G39:H39"/>
    <mergeCell ref="G46:H46"/>
    <mergeCell ref="G47:H47"/>
    <mergeCell ref="G48:H48"/>
    <mergeCell ref="G43:H43"/>
    <mergeCell ref="G44:H44"/>
    <mergeCell ref="G45:H45"/>
    <mergeCell ref="G49:H49"/>
    <mergeCell ref="G50:H50"/>
    <mergeCell ref="G51:H51"/>
    <mergeCell ref="G55:H55"/>
    <mergeCell ref="G56:H56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G62:H62"/>
    <mergeCell ref="G63:H63"/>
    <mergeCell ref="G64:H64"/>
    <mergeCell ref="G65:H65"/>
    <mergeCell ref="G66:H66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VLOOKUP(Пенсійний!H2,Лист2!A:N,14,FALSE)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49" t="s">
        <v>66</v>
      </c>
      <c r="I2" s="25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" thickBot="1" x14ac:dyDescent="0.25">
      <c r="A5" s="1"/>
      <c r="B5" s="255" t="str">
        <f>Назви!A1</f>
        <v>Cash out, грн.</v>
      </c>
      <c r="C5" s="256"/>
      <c r="D5" s="256"/>
      <c r="E5" s="257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45912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45942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91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45973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46003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46034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46065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46093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46124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46154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46185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46215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46246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46277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46307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si="4"/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46338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4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46368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4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46399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4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46430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4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46458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4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46489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4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46519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4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46550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4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46580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4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46611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4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46642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4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46672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4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46703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4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46733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4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46764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4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46795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4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4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46855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si="4"/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46885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4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46916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4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46946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4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46977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4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47008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4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47038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si="4"/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47069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4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47099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4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47130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4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47161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4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47189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4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47220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4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47250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4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47281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4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47311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4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47342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4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47373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4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47403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4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47434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4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47464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si="4"/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47495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4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47526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4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47554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4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47585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4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47615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4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47646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4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47676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4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47707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4"/>
        <v>#N/A</v>
      </c>
      <c r="H90" s="26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47738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4"/>
        <v>#N/A</v>
      </c>
      <c r="H91" s="281"/>
      <c r="I91" s="134"/>
      <c r="J91" s="134"/>
    </row>
    <row r="92" spans="1:19" ht="16.5" thickBot="1" x14ac:dyDescent="0.25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">
      <c r="A2" s="2"/>
      <c r="B2" s="61"/>
      <c r="C2" s="61"/>
      <c r="D2" s="61"/>
      <c r="E2" s="139" t="e">
        <f>VLOOKUP('Від 1 000 до 29 999'!H2,Лист2!A:N,14,FALSE)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49" t="s">
        <v>69</v>
      </c>
      <c r="I2" s="25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</row>
    <row r="4" spans="1:29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25">
      <c r="A5" s="1"/>
      <c r="B5" s="283" t="s">
        <v>82</v>
      </c>
      <c r="C5" s="284"/>
      <c r="D5" s="284"/>
      <c r="E5" s="285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8" t="s">
        <v>81</v>
      </c>
      <c r="C7" s="259"/>
      <c r="D7" s="259"/>
      <c r="E7" s="26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286"/>
      <c r="H11" s="286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 t="e">
        <f>VLOOKUP(H$2,Лист2!$A:$G,3,0)</f>
        <v>#N/A</v>
      </c>
      <c r="G15" s="286"/>
      <c r="H15" s="286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 t="e">
        <f>PMT(F9/12,F15,-E17)+F13*E17</f>
        <v>#N/A</v>
      </c>
      <c r="G18" s="289"/>
      <c r="H18" s="290"/>
      <c r="I18" s="133"/>
      <c r="J18" s="52"/>
      <c r="K18" s="162" t="str">
        <f>Лист2!A5</f>
        <v>Стабільний СК,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Стабільний СК,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 t="e">
        <f>G89-E3</f>
        <v>#N/A</v>
      </c>
      <c r="G20" s="291"/>
      <c r="H20" s="291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>Стабільний СК, 12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 t="e">
        <f>E3+F20</f>
        <v>#N/A</v>
      </c>
      <c r="G22" s="286"/>
      <c r="H22" s="28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45912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45942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92" t="e">
        <f>SUM(D29:F29)</f>
        <v>#N/A</v>
      </c>
      <c r="H29" s="292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45973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92" t="e">
        <f t="shared" ref="G30:G88" si="1">SUM(D30:F30)</f>
        <v>#N/A</v>
      </c>
      <c r="H30" s="292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46003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92" t="e">
        <f t="shared" si="1"/>
        <v>#N/A</v>
      </c>
      <c r="H31" s="292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46034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92" t="e">
        <f t="shared" si="1"/>
        <v>#N/A</v>
      </c>
      <c r="H32" s="292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46065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92" t="e">
        <f t="shared" si="1"/>
        <v>#N/A</v>
      </c>
      <c r="H33" s="292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46093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92" t="e">
        <f t="shared" si="1"/>
        <v>#N/A</v>
      </c>
      <c r="H34" s="292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46124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92" t="e">
        <f t="shared" si="1"/>
        <v>#N/A</v>
      </c>
      <c r="H35" s="292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46154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92" t="e">
        <f t="shared" si="1"/>
        <v>#N/A</v>
      </c>
      <c r="H36" s="292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46185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92" t="e">
        <f t="shared" si="1"/>
        <v>#N/A</v>
      </c>
      <c r="H37" s="292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46215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92" t="e">
        <f t="shared" si="1"/>
        <v>#N/A</v>
      </c>
      <c r="H38" s="292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46246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92" t="e">
        <f t="shared" si="1"/>
        <v>#N/A</v>
      </c>
      <c r="H39" s="292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46277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92" t="e">
        <f t="shared" si="1"/>
        <v>#N/A</v>
      </c>
      <c r="H40" s="292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46307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92" t="e">
        <f t="shared" si="1"/>
        <v>#N/A</v>
      </c>
      <c r="H41" s="292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46338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92" t="e">
        <f t="shared" si="1"/>
        <v>#N/A</v>
      </c>
      <c r="H42" s="292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46368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92" t="e">
        <f t="shared" si="1"/>
        <v>#N/A</v>
      </c>
      <c r="H43" s="292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46399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92" t="e">
        <f t="shared" si="1"/>
        <v>#N/A</v>
      </c>
      <c r="H44" s="292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46430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92" t="e">
        <f t="shared" si="1"/>
        <v>#N/A</v>
      </c>
      <c r="H45" s="292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46458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92" t="e">
        <f t="shared" si="1"/>
        <v>#N/A</v>
      </c>
      <c r="H46" s="292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46489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92" t="e">
        <f t="shared" si="1"/>
        <v>#N/A</v>
      </c>
      <c r="H47" s="292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46519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92" t="e">
        <f t="shared" si="1"/>
        <v>#N/A</v>
      </c>
      <c r="H48" s="292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46550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92" t="e">
        <f t="shared" si="1"/>
        <v>#N/A</v>
      </c>
      <c r="H49" s="292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46580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92" t="e">
        <f t="shared" si="1"/>
        <v>#N/A</v>
      </c>
      <c r="H50" s="292"/>
      <c r="I50" s="3"/>
    </row>
    <row r="51" spans="1:11" x14ac:dyDescent="0.2">
      <c r="A51" s="60">
        <v>25</v>
      </c>
      <c r="B51" s="128">
        <v>23</v>
      </c>
      <c r="C51" s="132">
        <f t="shared" ca="1" si="0"/>
        <v>46611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92" t="e">
        <f t="shared" si="1"/>
        <v>#N/A</v>
      </c>
      <c r="H51" s="292"/>
      <c r="I51" s="3"/>
    </row>
    <row r="52" spans="1:11" x14ac:dyDescent="0.2">
      <c r="A52" s="60"/>
      <c r="B52" s="128">
        <v>24</v>
      </c>
      <c r="C52" s="132">
        <f t="shared" ca="1" si="0"/>
        <v>46642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92" t="e">
        <f t="shared" si="1"/>
        <v>#N/A</v>
      </c>
      <c r="H52" s="292"/>
      <c r="I52" s="3"/>
    </row>
    <row r="53" spans="1:11" x14ac:dyDescent="0.2">
      <c r="A53" s="60"/>
      <c r="B53" s="128">
        <v>25</v>
      </c>
      <c r="C53" s="132">
        <f t="shared" ca="1" si="0"/>
        <v>46672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92" t="e">
        <f t="shared" si="1"/>
        <v>#N/A</v>
      </c>
      <c r="H53" s="292"/>
      <c r="I53" s="3"/>
    </row>
    <row r="54" spans="1:11" x14ac:dyDescent="0.2">
      <c r="A54" s="60"/>
      <c r="B54" s="128">
        <v>26</v>
      </c>
      <c r="C54" s="132">
        <f t="shared" ca="1" si="0"/>
        <v>46703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92" t="e">
        <f t="shared" si="1"/>
        <v>#N/A</v>
      </c>
      <c r="H54" s="292"/>
      <c r="I54" s="3"/>
    </row>
    <row r="55" spans="1:11" x14ac:dyDescent="0.2">
      <c r="A55" s="60"/>
      <c r="B55" s="128">
        <v>27</v>
      </c>
      <c r="C55" s="132">
        <f t="shared" ca="1" si="0"/>
        <v>46733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92" t="e">
        <f t="shared" si="1"/>
        <v>#N/A</v>
      </c>
      <c r="H55" s="292"/>
      <c r="I55" s="3"/>
    </row>
    <row r="56" spans="1:11" x14ac:dyDescent="0.2">
      <c r="A56" s="60"/>
      <c r="B56" s="128">
        <v>28</v>
      </c>
      <c r="C56" s="132">
        <f t="shared" ca="1" si="0"/>
        <v>46764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92" t="e">
        <f t="shared" si="1"/>
        <v>#N/A</v>
      </c>
      <c r="H56" s="292"/>
      <c r="I56" s="3"/>
    </row>
    <row r="57" spans="1:11" x14ac:dyDescent="0.2">
      <c r="A57" s="60"/>
      <c r="B57" s="128">
        <v>29</v>
      </c>
      <c r="C57" s="132">
        <f t="shared" ca="1" si="0"/>
        <v>46795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92" t="e">
        <f t="shared" si="1"/>
        <v>#N/A</v>
      </c>
      <c r="H57" s="292"/>
      <c r="I57" s="3"/>
    </row>
    <row r="58" spans="1:11" x14ac:dyDescent="0.2">
      <c r="A58" s="60">
        <v>25</v>
      </c>
      <c r="B58" s="128">
        <v>30</v>
      </c>
      <c r="C58" s="132">
        <f t="shared" ca="1" si="0"/>
        <v>46824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92" t="e">
        <f t="shared" si="1"/>
        <v>#N/A</v>
      </c>
      <c r="H58" s="292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46855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92" t="e">
        <f t="shared" si="1"/>
        <v>#N/A</v>
      </c>
      <c r="H59" s="292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46885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92" t="e">
        <f t="shared" si="1"/>
        <v>#N/A</v>
      </c>
      <c r="H60" s="292"/>
      <c r="I60" s="134"/>
      <c r="J60" s="134"/>
    </row>
    <row r="61" spans="1:11" x14ac:dyDescent="0.2">
      <c r="A61" s="60"/>
      <c r="B61" s="128">
        <v>33</v>
      </c>
      <c r="C61" s="132">
        <f t="shared" ca="1" si="0"/>
        <v>46916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92" t="e">
        <f t="shared" si="1"/>
        <v>#N/A</v>
      </c>
      <c r="H61" s="292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46946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92" t="e">
        <f t="shared" si="1"/>
        <v>#N/A</v>
      </c>
      <c r="H62" s="292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46977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92" t="e">
        <f t="shared" si="1"/>
        <v>#N/A</v>
      </c>
      <c r="H63" s="292"/>
      <c r="I63" s="134"/>
      <c r="J63" s="134"/>
    </row>
    <row r="64" spans="1:11" x14ac:dyDescent="0.2">
      <c r="A64" s="60"/>
      <c r="B64" s="128">
        <v>36</v>
      </c>
      <c r="C64" s="132">
        <f t="shared" ca="1" si="0"/>
        <v>47008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92" t="e">
        <f t="shared" si="1"/>
        <v>#N/A</v>
      </c>
      <c r="H64" s="292"/>
      <c r="I64" s="134"/>
      <c r="J64" s="134"/>
    </row>
    <row r="65" spans="1:10" x14ac:dyDescent="0.2">
      <c r="A65" s="60"/>
      <c r="B65" s="128">
        <v>37</v>
      </c>
      <c r="C65" s="132">
        <f t="shared" ca="1" si="0"/>
        <v>47038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92" t="e">
        <f t="shared" si="1"/>
        <v>#N/A</v>
      </c>
      <c r="H65" s="292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47069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92" t="e">
        <f t="shared" si="1"/>
        <v>#N/A</v>
      </c>
      <c r="H66" s="292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47099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92" t="e">
        <f t="shared" si="1"/>
        <v>#N/A</v>
      </c>
      <c r="H67" s="292"/>
      <c r="I67" s="134"/>
      <c r="J67" s="134"/>
    </row>
    <row r="68" spans="1:10" x14ac:dyDescent="0.2">
      <c r="A68" s="60"/>
      <c r="B68" s="128">
        <v>40</v>
      </c>
      <c r="C68" s="132">
        <f t="shared" ca="1" si="0"/>
        <v>47130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92" t="e">
        <f t="shared" si="1"/>
        <v>#N/A</v>
      </c>
      <c r="H68" s="292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47161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92" t="e">
        <f t="shared" si="1"/>
        <v>#N/A</v>
      </c>
      <c r="H69" s="292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47189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92" t="e">
        <f t="shared" si="1"/>
        <v>#N/A</v>
      </c>
      <c r="H70" s="292"/>
      <c r="I70" s="134"/>
      <c r="J70" s="134"/>
    </row>
    <row r="71" spans="1:10" x14ac:dyDescent="0.2">
      <c r="A71" s="60"/>
      <c r="B71" s="128">
        <v>43</v>
      </c>
      <c r="C71" s="132">
        <f t="shared" ca="1" si="0"/>
        <v>47220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92" t="e">
        <f t="shared" si="1"/>
        <v>#N/A</v>
      </c>
      <c r="H71" s="292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47250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92" t="e">
        <f t="shared" si="1"/>
        <v>#N/A</v>
      </c>
      <c r="H72" s="292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47281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92" t="e">
        <f t="shared" si="1"/>
        <v>#N/A</v>
      </c>
      <c r="H73" s="292"/>
      <c r="I73" s="134"/>
      <c r="J73" s="134"/>
    </row>
    <row r="74" spans="1:10" x14ac:dyDescent="0.2">
      <c r="A74" s="60"/>
      <c r="B74" s="128">
        <v>46</v>
      </c>
      <c r="C74" s="132">
        <f t="shared" ca="1" si="0"/>
        <v>47311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92" t="e">
        <f t="shared" si="1"/>
        <v>#N/A</v>
      </c>
      <c r="H74" s="292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47342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92" t="e">
        <f t="shared" si="1"/>
        <v>#N/A</v>
      </c>
      <c r="H75" s="292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47373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92" t="e">
        <f t="shared" si="1"/>
        <v>#N/A</v>
      </c>
      <c r="H76" s="292"/>
      <c r="I76" s="134"/>
      <c r="J76" s="134"/>
    </row>
    <row r="77" spans="1:10" x14ac:dyDescent="0.2">
      <c r="A77" s="60"/>
      <c r="B77" s="128">
        <v>49</v>
      </c>
      <c r="C77" s="132">
        <f t="shared" ca="1" si="0"/>
        <v>47403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92" t="e">
        <f t="shared" si="1"/>
        <v>#N/A</v>
      </c>
      <c r="H77" s="292"/>
      <c r="I77" s="134"/>
      <c r="J77" s="134"/>
    </row>
    <row r="78" spans="1:10" x14ac:dyDescent="0.2">
      <c r="A78" s="60"/>
      <c r="B78" s="128">
        <v>50</v>
      </c>
      <c r="C78" s="132">
        <f t="shared" ca="1" si="0"/>
        <v>47434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92" t="e">
        <f t="shared" si="1"/>
        <v>#N/A</v>
      </c>
      <c r="H78" s="292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47464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92" t="e">
        <f t="shared" si="1"/>
        <v>#N/A</v>
      </c>
      <c r="H79" s="292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47495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92" t="e">
        <f t="shared" si="1"/>
        <v>#N/A</v>
      </c>
      <c r="H80" s="292"/>
      <c r="I80" s="134"/>
      <c r="J80" s="134"/>
    </row>
    <row r="81" spans="1:10" x14ac:dyDescent="0.2">
      <c r="A81" s="60"/>
      <c r="B81" s="128">
        <v>53</v>
      </c>
      <c r="C81" s="132">
        <f t="shared" ca="1" si="0"/>
        <v>47526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92" t="e">
        <f t="shared" si="1"/>
        <v>#N/A</v>
      </c>
      <c r="H81" s="292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47554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92" t="e">
        <f t="shared" si="1"/>
        <v>#N/A</v>
      </c>
      <c r="H82" s="292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47585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92" t="e">
        <f t="shared" si="1"/>
        <v>#N/A</v>
      </c>
      <c r="H83" s="292"/>
      <c r="I83" s="134"/>
      <c r="J83" s="134"/>
    </row>
    <row r="84" spans="1:10" x14ac:dyDescent="0.2">
      <c r="A84" s="60"/>
      <c r="B84" s="128">
        <v>56</v>
      </c>
      <c r="C84" s="132">
        <f t="shared" ca="1" si="0"/>
        <v>47615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92" t="e">
        <f t="shared" si="1"/>
        <v>#N/A</v>
      </c>
      <c r="H84" s="292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47646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92" t="e">
        <f t="shared" si="1"/>
        <v>#N/A</v>
      </c>
      <c r="H85" s="292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47676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92" t="e">
        <f t="shared" si="1"/>
        <v>#N/A</v>
      </c>
      <c r="H86" s="292"/>
      <c r="I86" s="134"/>
      <c r="J86" s="134"/>
    </row>
    <row r="87" spans="1:10" x14ac:dyDescent="0.2">
      <c r="A87" s="60"/>
      <c r="B87" s="128">
        <v>59</v>
      </c>
      <c r="C87" s="132">
        <f t="shared" ca="1" si="0"/>
        <v>47707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92" t="e">
        <f t="shared" si="1"/>
        <v>#N/A</v>
      </c>
      <c r="H87" s="292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47738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96" t="e">
        <f t="shared" si="1"/>
        <v>#N/A</v>
      </c>
      <c r="H88" s="296"/>
      <c r="I88" s="134"/>
      <c r="J88" s="134"/>
    </row>
    <row r="89" spans="1:10" ht="16.5" thickBot="1" x14ac:dyDescent="0.25">
      <c r="A89" s="60"/>
      <c r="B89" s="275" t="s">
        <v>3</v>
      </c>
      <c r="C89" s="29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94" t="e">
        <f>SUM(G29:H88)</f>
        <v>#N/A</v>
      </c>
      <c r="H89" s="295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B9:E9"/>
    <mergeCell ref="G9:H9"/>
    <mergeCell ref="B11:E11"/>
    <mergeCell ref="G11:H11"/>
    <mergeCell ref="B13:E13"/>
    <mergeCell ref="G13:H13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00B0F0"/>
    <pageSetUpPr fitToPage="1"/>
  </sheetPr>
  <dimension ref="A1:AC98"/>
  <sheetViews>
    <sheetView view="pageBreakPreview" zoomScale="85" zoomScaleNormal="70" zoomScaleSheetLayoutView="8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122" customWidth="1" collapsed="1"/>
    <col min="14" max="14" width="17.140625" style="122" customWidth="1"/>
    <col min="15" max="29" width="9.140625" style="122"/>
    <col min="30" max="16384" width="9.140625" style="4"/>
  </cols>
  <sheetData>
    <row r="1" spans="1:14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14" ht="12.75" customHeight="1" x14ac:dyDescent="0.2">
      <c r="A2" s="2"/>
      <c r="B2" s="61"/>
      <c r="C2" s="61"/>
      <c r="D2" s="61"/>
      <c r="E2" s="139" t="e">
        <f>VLOOKUP('Вигідний_зі знижкою-10%'!H2,Лист2!A:N,14,FALSE)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49" t="s">
        <v>89</v>
      </c>
      <c r="I2" s="250"/>
      <c r="J2" s="50"/>
      <c r="M2" s="201"/>
      <c r="N2" s="201"/>
    </row>
    <row r="3" spans="1:14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VLOOKUP(H$2,Лист2!$A:$G,8,0)</f>
        <v>#N/A</v>
      </c>
      <c r="I3" s="254"/>
      <c r="J3" s="50"/>
    </row>
    <row r="4" spans="1:14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14" ht="21" customHeight="1" thickBot="1" x14ac:dyDescent="0.25">
      <c r="A5" s="1"/>
      <c r="B5" s="283" t="s">
        <v>82</v>
      </c>
      <c r="C5" s="284"/>
      <c r="D5" s="284"/>
      <c r="E5" s="285"/>
      <c r="F5" s="205">
        <v>30000</v>
      </c>
      <c r="G5" s="203" t="s">
        <v>31</v>
      </c>
      <c r="H5" s="204"/>
      <c r="I5" s="3"/>
      <c r="J5" s="51"/>
      <c r="K5" s="69"/>
    </row>
    <row r="6" spans="1:14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" customHeight="1" x14ac:dyDescent="0.2">
      <c r="A7" s="1"/>
      <c r="B7" s="258" t="s">
        <v>81</v>
      </c>
      <c r="C7" s="259"/>
      <c r="D7" s="259"/>
      <c r="E7" s="260"/>
      <c r="F7" s="13" t="e">
        <f>E19</f>
        <v>#N/A</v>
      </c>
      <c r="G7" s="43"/>
      <c r="H7" s="42"/>
      <c r="I7" s="2"/>
      <c r="J7" s="52"/>
      <c r="K7" s="69"/>
    </row>
    <row r="8" spans="1:14" x14ac:dyDescent="0.2">
      <c r="A8" s="1"/>
      <c r="B8" s="5"/>
      <c r="C8" s="2"/>
      <c r="D8" s="5"/>
      <c r="E8" s="2"/>
      <c r="F8" s="183" t="e">
        <f>F7-SUM(D31:D33)</f>
        <v>#N/A</v>
      </c>
      <c r="G8" s="43"/>
      <c r="H8" s="42"/>
      <c r="I8" s="2"/>
      <c r="J8" s="52"/>
      <c r="K8" s="69"/>
    </row>
    <row r="9" spans="1:14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14" x14ac:dyDescent="0.2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">
      <c r="A11" s="1"/>
      <c r="B11" s="258" t="str">
        <f>Назви!A5</f>
        <v>Процентна ставка знижена, % річних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190"/>
      <c r="H11" s="190"/>
      <c r="I11" s="3"/>
      <c r="J11" s="51"/>
      <c r="K11" s="69"/>
    </row>
    <row r="12" spans="1:14" x14ac:dyDescent="0.2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">
      <c r="A13" s="1"/>
      <c r="B13" s="258" t="str">
        <f>Назви!A7</f>
        <v>Разовий страховий тариф, %</v>
      </c>
      <c r="C13" s="259">
        <f>Назви!B7</f>
        <v>0</v>
      </c>
      <c r="D13" s="259">
        <f>Назви!C7</f>
        <v>0</v>
      </c>
      <c r="E13" s="260">
        <f>Назви!D7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14" ht="6.6" customHeight="1" x14ac:dyDescent="0.2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">
      <c r="A15" s="1"/>
      <c r="B15" s="258" t="str">
        <f>Назви!A9</f>
        <v xml:space="preserve">Щомісячна плата за обслуговування кредитної заборгованості, % </v>
      </c>
      <c r="C15" s="259">
        <f>Назви!B9</f>
        <v>0</v>
      </c>
      <c r="D15" s="259">
        <f>Назви!C9</f>
        <v>0</v>
      </c>
      <c r="E15" s="260">
        <f>Назви!D9</f>
        <v>0</v>
      </c>
      <c r="F15" s="38" t="e">
        <f>VLOOKUP(H$2,Лист2!$A:$G,7,0)</f>
        <v>#N/A</v>
      </c>
      <c r="G15" s="286"/>
      <c r="H15" s="286"/>
      <c r="I15" s="3"/>
      <c r="J15" s="51"/>
      <c r="K15" s="162" t="e">
        <f>Лист2!#REF!</f>
        <v>#REF!</v>
      </c>
    </row>
    <row r="16" spans="1:14" ht="6.75" customHeight="1" x14ac:dyDescent="0.2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">
      <c r="A17" s="1"/>
      <c r="B17" s="258" t="str">
        <f>Назви!A11</f>
        <v>Термін кредитування (міс.)</v>
      </c>
      <c r="C17" s="259">
        <f>Назви!B11</f>
        <v>0</v>
      </c>
      <c r="D17" s="259">
        <f>Назви!C11</f>
        <v>0</v>
      </c>
      <c r="E17" s="260">
        <f>Назви!D11</f>
        <v>0</v>
      </c>
      <c r="F17" s="64" t="e">
        <f>VLOOKUP(H$2,Лист2!$A:$G,3,0)</f>
        <v>#N/A</v>
      </c>
      <c r="G17" s="286"/>
      <c r="H17" s="286"/>
      <c r="I17" s="3"/>
      <c r="J17" s="51"/>
      <c r="K17" s="162" t="e">
        <f>Лист2!#REF!</f>
        <v>#REF!</v>
      </c>
    </row>
    <row r="18" spans="1:29" s="12" customFormat="1" ht="7.9" customHeight="1" x14ac:dyDescent="0.2">
      <c r="A18" s="1"/>
      <c r="B18" s="10"/>
      <c r="C18" s="59"/>
      <c r="D18" s="116"/>
      <c r="E18" s="182" t="e">
        <f>F5*F13</f>
        <v>#N/A</v>
      </c>
      <c r="F18" s="61"/>
      <c r="G18" s="120"/>
      <c r="H18" s="11"/>
      <c r="I18" s="1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">
      <c r="A19" s="1"/>
      <c r="B19" s="10"/>
      <c r="C19" s="59"/>
      <c r="D19" s="116"/>
      <c r="E19" s="183" t="e">
        <f>E18+E3</f>
        <v>#N/A</v>
      </c>
      <c r="F19" s="61"/>
      <c r="G19" s="120"/>
      <c r="H19" s="11"/>
      <c r="I19" s="1"/>
      <c r="J19" s="124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Назви!A14</f>
        <v>Орієнтовний платіж, грн.</v>
      </c>
      <c r="C20" s="262">
        <f>Назви!B14</f>
        <v>0</v>
      </c>
      <c r="D20" s="262">
        <f>Назви!C14</f>
        <v>0</v>
      </c>
      <c r="E20" s="263">
        <f>Назви!D14</f>
        <v>0</v>
      </c>
      <c r="F20" s="13" t="e">
        <f>PMT(F9/12,F17,-E19)+F15*E19</f>
        <v>#N/A</v>
      </c>
      <c r="G20" s="289"/>
      <c r="H20" s="290"/>
      <c r="I20" s="133"/>
      <c r="J20" s="52"/>
      <c r="K20" s="162" t="str">
        <f>Лист2!A5</f>
        <v>Стабільний СК, 36 міс.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Лист2!A6</f>
        <v>Стабільний СК, 24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Назви!A16</f>
        <v>Орієнтовні загальні витрати за кредитом, грн.</v>
      </c>
      <c r="C22" s="262">
        <f>Назви!B16</f>
        <v>0</v>
      </c>
      <c r="D22" s="262">
        <f>Назви!C16</f>
        <v>0</v>
      </c>
      <c r="E22" s="263">
        <f>Назви!D16</f>
        <v>0</v>
      </c>
      <c r="F22" s="13" t="e">
        <f>F91-E3</f>
        <v>#N/A</v>
      </c>
      <c r="G22" s="291"/>
      <c r="H22" s="291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 t="str">
        <f>Лист2!A7</f>
        <v>Стабільний СК, 12 міс.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Назви!A18</f>
        <v>Орієнтовна загальна вартість кредиту, грн.</v>
      </c>
      <c r="C24" s="262">
        <f>Назви!B18</f>
        <v>0</v>
      </c>
      <c r="D24" s="262">
        <f>Назви!C18</f>
        <v>0</v>
      </c>
      <c r="E24" s="263">
        <f>Назви!D18</f>
        <v>0</v>
      </c>
      <c r="F24" s="13" t="e">
        <f>E3+F22</f>
        <v>#N/A</v>
      </c>
      <c r="G24" s="286"/>
      <c r="H24" s="286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">
      <c r="A26" s="1"/>
      <c r="B26" s="261" t="str">
        <f>Назви!A20</f>
        <v>Реальна річна процентна ставка, %</v>
      </c>
      <c r="C26" s="262"/>
      <c r="D26" s="262"/>
      <c r="E26" s="263"/>
      <c r="F26" s="38" t="e">
        <f ca="1">XIRR(F30:F90,C30:C90)</f>
        <v>#N/A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5" thickBot="1" x14ac:dyDescent="0.25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.75" thickBot="1" x14ac:dyDescent="0.25">
      <c r="A28" s="1"/>
      <c r="B28" s="268" t="str">
        <f>Назви!A29</f>
        <v>Орієнтовний порядок повернення кредиту</v>
      </c>
      <c r="C28" s="269"/>
      <c r="D28" s="269"/>
      <c r="E28" s="269"/>
      <c r="F28" s="269"/>
      <c r="G28" s="270"/>
      <c r="H28" s="3"/>
      <c r="I28" s="3"/>
      <c r="K28" s="162"/>
    </row>
    <row r="29" spans="1:29" ht="31.15" customHeight="1" thickBot="1" x14ac:dyDescent="0.25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71" t="str">
        <f>Назви!F30</f>
        <v>Сума платежу за розрахунковий період, грн.</v>
      </c>
      <c r="G29" s="272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25">
      <c r="A30" s="1"/>
      <c r="B30" s="112">
        <v>0</v>
      </c>
      <c r="C30" s="217">
        <f ca="1">TODAY()</f>
        <v>45912</v>
      </c>
      <c r="D30" s="113"/>
      <c r="E30" s="113"/>
      <c r="F30" s="287" t="e">
        <f>-1*E3</f>
        <v>#N/A</v>
      </c>
      <c r="G30" s="288"/>
      <c r="H30" s="3"/>
      <c r="I30" s="3"/>
      <c r="J30" s="162" t="e">
        <f>Лист2!#REF!</f>
        <v>#REF!</v>
      </c>
      <c r="K30" s="162"/>
      <c r="L30" s="122"/>
      <c r="AC30" s="4"/>
    </row>
    <row r="31" spans="1:29" x14ac:dyDescent="0.2">
      <c r="A31" s="1">
        <v>1</v>
      </c>
      <c r="B31" s="129">
        <v>1</v>
      </c>
      <c r="C31" s="136">
        <f ca="1">DATE(YEAR(C30),MONTH(C30)+1,DAY(C30))</f>
        <v>45942</v>
      </c>
      <c r="D31" s="193">
        <f>IFERROR(PPMT($F$9/12,B31,$F$17,-$E$19),0)</f>
        <v>0</v>
      </c>
      <c r="E31" s="194">
        <f>IFERROR(IPMT($F$9/12,B31,$F$17,-$F$7),0)</f>
        <v>0</v>
      </c>
      <c r="F31" s="292">
        <f t="shared" ref="F31:F62" si="0">SUM(D31:E31)</f>
        <v>0</v>
      </c>
      <c r="G31" s="292"/>
      <c r="H31" s="3"/>
      <c r="I31" s="3"/>
      <c r="J31" s="162" t="e">
        <f>Лист2!#REF!</f>
        <v>#REF!</v>
      </c>
      <c r="K31" s="162"/>
      <c r="L31" s="122"/>
      <c r="AC31" s="4"/>
    </row>
    <row r="32" spans="1:29" x14ac:dyDescent="0.2">
      <c r="A32" s="1">
        <v>2</v>
      </c>
      <c r="B32" s="128">
        <v>2</v>
      </c>
      <c r="C32" s="132">
        <f t="shared" ref="C32:C90" ca="1" si="1">DATE(YEAR(C31),MONTH(C31)+1,DAY(C31))</f>
        <v>45973</v>
      </c>
      <c r="D32" s="195">
        <f t="shared" ref="D32:D90" si="2">IFERROR(PPMT($F$9/12,B32,$F$17,-$E$19),0)</f>
        <v>0</v>
      </c>
      <c r="E32" s="197">
        <f>IFERROR(IPMT($F$9/12,B32,$F$17,-$F$7),0)</f>
        <v>0</v>
      </c>
      <c r="F32" s="292">
        <f t="shared" si="0"/>
        <v>0</v>
      </c>
      <c r="G32" s="292"/>
      <c r="H32" s="3"/>
      <c r="I32" s="3"/>
      <c r="J32" s="162" t="e">
        <f>Лист2!#REF!</f>
        <v>#REF!</v>
      </c>
      <c r="K32" s="162"/>
      <c r="L32" s="122"/>
      <c r="AC32" s="4"/>
    </row>
    <row r="33" spans="1:29" x14ac:dyDescent="0.2">
      <c r="A33" s="1">
        <v>3</v>
      </c>
      <c r="B33" s="128">
        <v>3</v>
      </c>
      <c r="C33" s="132">
        <f t="shared" ca="1" si="1"/>
        <v>46003</v>
      </c>
      <c r="D33" s="195">
        <f t="shared" si="2"/>
        <v>0</v>
      </c>
      <c r="E33" s="197">
        <f>IFERROR(IPMT($F$9/12,B33,$F$17,-$F$7),0)</f>
        <v>0</v>
      </c>
      <c r="F33" s="292">
        <f t="shared" si="0"/>
        <v>0</v>
      </c>
      <c r="G33" s="292"/>
      <c r="H33" s="3"/>
      <c r="I33" s="3"/>
      <c r="J33" s="162" t="e">
        <f>Лист2!#REF!</f>
        <v>#REF!</v>
      </c>
      <c r="K33" s="218"/>
      <c r="L33" s="122"/>
      <c r="AC33" s="4"/>
    </row>
    <row r="34" spans="1:29" x14ac:dyDescent="0.2">
      <c r="A34" s="1">
        <v>4</v>
      </c>
      <c r="B34" s="128">
        <v>4</v>
      </c>
      <c r="C34" s="132">
        <f t="shared" ca="1" si="1"/>
        <v>46034</v>
      </c>
      <c r="D34" s="195">
        <f>IFERROR(PPMT($F$11/12,(B34-3),($F$17-3),-$F$8),0)</f>
        <v>0</v>
      </c>
      <c r="E34" s="197">
        <f t="shared" ref="E34:E48" si="3">IFERROR(IPMT($F$11/12,(B34-3),($F$17-3),-$F$8),0)</f>
        <v>0</v>
      </c>
      <c r="F34" s="292">
        <f t="shared" si="0"/>
        <v>0</v>
      </c>
      <c r="G34" s="292"/>
      <c r="H34" s="3"/>
      <c r="I34" s="3"/>
      <c r="J34" s="162" t="e">
        <f>Лист2!#REF!</f>
        <v>#REF!</v>
      </c>
      <c r="K34" s="162"/>
      <c r="L34" s="122"/>
      <c r="AC34" s="4"/>
    </row>
    <row r="35" spans="1:29" x14ac:dyDescent="0.2">
      <c r="A35" s="1">
        <v>5</v>
      </c>
      <c r="B35" s="128">
        <v>5</v>
      </c>
      <c r="C35" s="132">
        <f t="shared" ca="1" si="1"/>
        <v>46065</v>
      </c>
      <c r="D35" s="195">
        <f t="shared" ref="D35:D48" si="4">IFERROR(PPMT($F$11/12,(B35-3),($F$17-3),-$F$8),0)</f>
        <v>0</v>
      </c>
      <c r="E35" s="197">
        <f t="shared" si="3"/>
        <v>0</v>
      </c>
      <c r="F35" s="292">
        <f t="shared" si="0"/>
        <v>0</v>
      </c>
      <c r="G35" s="292"/>
      <c r="H35" s="3"/>
      <c r="I35" s="3"/>
      <c r="J35" s="162" t="e">
        <f>Лист2!#REF!</f>
        <v>#REF!</v>
      </c>
      <c r="K35" s="162"/>
      <c r="L35" s="122"/>
      <c r="AC35" s="4"/>
    </row>
    <row r="36" spans="1:29" x14ac:dyDescent="0.2">
      <c r="A36" s="1">
        <v>6</v>
      </c>
      <c r="B36" s="128">
        <v>6</v>
      </c>
      <c r="C36" s="132">
        <f t="shared" ca="1" si="1"/>
        <v>46093</v>
      </c>
      <c r="D36" s="195">
        <f t="shared" si="4"/>
        <v>0</v>
      </c>
      <c r="E36" s="197">
        <f t="shared" si="3"/>
        <v>0</v>
      </c>
      <c r="F36" s="292">
        <f t="shared" si="0"/>
        <v>0</v>
      </c>
      <c r="G36" s="292"/>
      <c r="H36" s="3"/>
      <c r="I36" s="3"/>
      <c r="J36" s="162" t="e">
        <f>Лист2!#REF!</f>
        <v>#REF!</v>
      </c>
      <c r="K36" s="162"/>
      <c r="L36" s="122"/>
      <c r="AC36" s="4"/>
    </row>
    <row r="37" spans="1:29" x14ac:dyDescent="0.2">
      <c r="A37" s="1">
        <v>7</v>
      </c>
      <c r="B37" s="128">
        <v>7</v>
      </c>
      <c r="C37" s="132">
        <f t="shared" ca="1" si="1"/>
        <v>46124</v>
      </c>
      <c r="D37" s="195">
        <f t="shared" si="4"/>
        <v>0</v>
      </c>
      <c r="E37" s="197">
        <f t="shared" si="3"/>
        <v>0</v>
      </c>
      <c r="F37" s="292">
        <f t="shared" si="0"/>
        <v>0</v>
      </c>
      <c r="G37" s="292"/>
      <c r="H37" s="3"/>
      <c r="I37" s="3"/>
      <c r="J37" s="162" t="e">
        <f>Лист2!#REF!</f>
        <v>#REF!</v>
      </c>
      <c r="K37" s="162"/>
      <c r="L37" s="122"/>
      <c r="AC37" s="4"/>
    </row>
    <row r="38" spans="1:29" x14ac:dyDescent="0.2">
      <c r="A38" s="1">
        <v>8</v>
      </c>
      <c r="B38" s="128">
        <v>8</v>
      </c>
      <c r="C38" s="132">
        <f t="shared" ca="1" si="1"/>
        <v>46154</v>
      </c>
      <c r="D38" s="195">
        <f t="shared" si="4"/>
        <v>0</v>
      </c>
      <c r="E38" s="197">
        <f t="shared" si="3"/>
        <v>0</v>
      </c>
      <c r="F38" s="292">
        <f t="shared" si="0"/>
        <v>0</v>
      </c>
      <c r="G38" s="292"/>
      <c r="H38" s="3"/>
      <c r="I38" s="3"/>
      <c r="J38" s="162" t="e">
        <f>Лист2!#REF!</f>
        <v>#REF!</v>
      </c>
      <c r="K38" s="162"/>
      <c r="L38" s="122"/>
      <c r="AC38" s="4"/>
    </row>
    <row r="39" spans="1:29" x14ac:dyDescent="0.2">
      <c r="A39" s="1">
        <v>9</v>
      </c>
      <c r="B39" s="128">
        <v>9</v>
      </c>
      <c r="C39" s="132">
        <f t="shared" ca="1" si="1"/>
        <v>46185</v>
      </c>
      <c r="D39" s="195">
        <f t="shared" si="4"/>
        <v>0</v>
      </c>
      <c r="E39" s="197">
        <f t="shared" si="3"/>
        <v>0</v>
      </c>
      <c r="F39" s="292">
        <f t="shared" si="0"/>
        <v>0</v>
      </c>
      <c r="G39" s="292"/>
      <c r="H39" s="3"/>
      <c r="I39" s="3"/>
      <c r="J39" s="162" t="e">
        <f>Лист2!#REF!</f>
        <v>#REF!</v>
      </c>
      <c r="K39" s="162"/>
      <c r="L39" s="122"/>
      <c r="AC39" s="4"/>
    </row>
    <row r="40" spans="1:29" x14ac:dyDescent="0.2">
      <c r="A40" s="1">
        <v>10</v>
      </c>
      <c r="B40" s="128">
        <v>10</v>
      </c>
      <c r="C40" s="132">
        <f t="shared" ca="1" si="1"/>
        <v>46215</v>
      </c>
      <c r="D40" s="195">
        <f t="shared" si="4"/>
        <v>0</v>
      </c>
      <c r="E40" s="197">
        <f t="shared" si="3"/>
        <v>0</v>
      </c>
      <c r="F40" s="292">
        <f t="shared" si="0"/>
        <v>0</v>
      </c>
      <c r="G40" s="292"/>
      <c r="H40" s="3"/>
      <c r="I40" s="3"/>
      <c r="J40" s="162" t="e">
        <f>Лист2!#REF!</f>
        <v>#REF!</v>
      </c>
      <c r="K40" s="162"/>
      <c r="L40" s="122"/>
      <c r="AC40" s="4"/>
    </row>
    <row r="41" spans="1:29" x14ac:dyDescent="0.2">
      <c r="A41" s="1">
        <v>22</v>
      </c>
      <c r="B41" s="128">
        <v>11</v>
      </c>
      <c r="C41" s="132">
        <f t="shared" ca="1" si="1"/>
        <v>46246</v>
      </c>
      <c r="D41" s="195">
        <f t="shared" si="4"/>
        <v>0</v>
      </c>
      <c r="E41" s="197">
        <f t="shared" si="3"/>
        <v>0</v>
      </c>
      <c r="F41" s="292">
        <f t="shared" si="0"/>
        <v>0</v>
      </c>
      <c r="G41" s="292"/>
      <c r="H41" s="3"/>
      <c r="I41" s="3"/>
      <c r="J41" s="162" t="e">
        <f>Лист2!#REF!</f>
        <v>#REF!</v>
      </c>
      <c r="K41" s="162"/>
      <c r="L41" s="122"/>
      <c r="AC41" s="4"/>
    </row>
    <row r="42" spans="1:29" x14ac:dyDescent="0.2">
      <c r="A42" s="1">
        <v>22</v>
      </c>
      <c r="B42" s="128">
        <v>12</v>
      </c>
      <c r="C42" s="132">
        <f t="shared" ca="1" si="1"/>
        <v>46277</v>
      </c>
      <c r="D42" s="195">
        <f t="shared" si="4"/>
        <v>0</v>
      </c>
      <c r="E42" s="197">
        <f t="shared" si="3"/>
        <v>0</v>
      </c>
      <c r="F42" s="292">
        <f t="shared" si="0"/>
        <v>0</v>
      </c>
      <c r="G42" s="292"/>
      <c r="H42" s="3"/>
      <c r="I42" s="3"/>
      <c r="J42" s="162" t="e">
        <f>Лист2!#REF!</f>
        <v>#REF!</v>
      </c>
      <c r="K42" s="162"/>
      <c r="L42" s="122"/>
      <c r="AC42" s="4"/>
    </row>
    <row r="43" spans="1:29" x14ac:dyDescent="0.2">
      <c r="A43" s="1">
        <v>13</v>
      </c>
      <c r="B43" s="128">
        <v>13</v>
      </c>
      <c r="C43" s="132">
        <f t="shared" ca="1" si="1"/>
        <v>46307</v>
      </c>
      <c r="D43" s="195">
        <f t="shared" si="4"/>
        <v>0</v>
      </c>
      <c r="E43" s="197">
        <f t="shared" si="3"/>
        <v>0</v>
      </c>
      <c r="F43" s="292">
        <f t="shared" si="0"/>
        <v>0</v>
      </c>
      <c r="G43" s="292"/>
      <c r="H43" s="3"/>
      <c r="I43" s="3"/>
      <c r="J43" s="162" t="e">
        <f>Лист2!#REF!</f>
        <v>#REF!</v>
      </c>
      <c r="K43" s="162"/>
      <c r="L43" s="122"/>
      <c r="AC43" s="4"/>
    </row>
    <row r="44" spans="1:29" x14ac:dyDescent="0.2">
      <c r="A44" s="1">
        <v>14</v>
      </c>
      <c r="B44" s="128">
        <v>14</v>
      </c>
      <c r="C44" s="132">
        <f t="shared" ca="1" si="1"/>
        <v>46338</v>
      </c>
      <c r="D44" s="195">
        <f t="shared" si="4"/>
        <v>0</v>
      </c>
      <c r="E44" s="197">
        <f t="shared" si="3"/>
        <v>0</v>
      </c>
      <c r="F44" s="292">
        <f t="shared" si="0"/>
        <v>0</v>
      </c>
      <c r="G44" s="292"/>
      <c r="H44" s="3"/>
      <c r="I44" s="3"/>
      <c r="J44" s="162" t="e">
        <f>Лист2!#REF!</f>
        <v>#REF!</v>
      </c>
      <c r="K44" s="162"/>
      <c r="L44" s="122"/>
      <c r="AC44" s="4"/>
    </row>
    <row r="45" spans="1:29" x14ac:dyDescent="0.2">
      <c r="A45" s="1">
        <v>15</v>
      </c>
      <c r="B45" s="128">
        <v>15</v>
      </c>
      <c r="C45" s="132">
        <f t="shared" ca="1" si="1"/>
        <v>46368</v>
      </c>
      <c r="D45" s="195">
        <f t="shared" si="4"/>
        <v>0</v>
      </c>
      <c r="E45" s="197">
        <f t="shared" si="3"/>
        <v>0</v>
      </c>
      <c r="F45" s="292">
        <f t="shared" si="0"/>
        <v>0</v>
      </c>
      <c r="G45" s="292"/>
      <c r="H45" s="3"/>
      <c r="I45" s="3"/>
      <c r="J45" s="162" t="e">
        <f>Лист2!#REF!</f>
        <v>#REF!</v>
      </c>
      <c r="K45" s="162"/>
      <c r="L45" s="122"/>
      <c r="AC45" s="4"/>
    </row>
    <row r="46" spans="1:29" x14ac:dyDescent="0.2">
      <c r="A46" s="1">
        <v>16</v>
      </c>
      <c r="B46" s="128">
        <v>16</v>
      </c>
      <c r="C46" s="132">
        <f t="shared" ca="1" si="1"/>
        <v>46399</v>
      </c>
      <c r="D46" s="195">
        <f t="shared" si="4"/>
        <v>0</v>
      </c>
      <c r="E46" s="197">
        <f t="shared" si="3"/>
        <v>0</v>
      </c>
      <c r="F46" s="292">
        <f t="shared" si="0"/>
        <v>0</v>
      </c>
      <c r="G46" s="292"/>
      <c r="H46" s="3"/>
      <c r="I46" s="3"/>
      <c r="J46" s="162" t="e">
        <f>Лист2!#REF!</f>
        <v>#REF!</v>
      </c>
      <c r="K46" s="162"/>
      <c r="L46" s="122"/>
      <c r="AC46" s="4"/>
    </row>
    <row r="47" spans="1:29" x14ac:dyDescent="0.2">
      <c r="A47" s="1">
        <v>22</v>
      </c>
      <c r="B47" s="128">
        <v>17</v>
      </c>
      <c r="C47" s="132">
        <f t="shared" ca="1" si="1"/>
        <v>46430</v>
      </c>
      <c r="D47" s="195">
        <f t="shared" si="4"/>
        <v>0</v>
      </c>
      <c r="E47" s="197">
        <f t="shared" si="3"/>
        <v>0</v>
      </c>
      <c r="F47" s="292">
        <f t="shared" si="0"/>
        <v>0</v>
      </c>
      <c r="G47" s="292"/>
      <c r="H47" s="3"/>
      <c r="I47" s="3"/>
      <c r="J47" s="162"/>
      <c r="K47" s="162"/>
      <c r="L47" s="122"/>
      <c r="AC47" s="4"/>
    </row>
    <row r="48" spans="1:29" x14ac:dyDescent="0.2">
      <c r="A48" s="1">
        <v>22</v>
      </c>
      <c r="B48" s="128">
        <v>18</v>
      </c>
      <c r="C48" s="132">
        <f t="shared" ca="1" si="1"/>
        <v>46458</v>
      </c>
      <c r="D48" s="195">
        <f t="shared" si="4"/>
        <v>0</v>
      </c>
      <c r="E48" s="197">
        <f t="shared" si="3"/>
        <v>0</v>
      </c>
      <c r="F48" s="292">
        <f t="shared" si="0"/>
        <v>0</v>
      </c>
      <c r="G48" s="292"/>
      <c r="H48" s="3"/>
      <c r="I48" s="3"/>
      <c r="J48" s="162"/>
      <c r="L48" s="122"/>
      <c r="AC48" s="4"/>
    </row>
    <row r="49" spans="1:29" x14ac:dyDescent="0.2">
      <c r="A49" s="1">
        <v>19</v>
      </c>
      <c r="B49" s="128">
        <v>19</v>
      </c>
      <c r="C49" s="132">
        <f t="shared" ca="1" si="1"/>
        <v>46489</v>
      </c>
      <c r="D49" s="195">
        <f t="shared" si="2"/>
        <v>0</v>
      </c>
      <c r="E49" s="197">
        <f t="shared" ref="E49:E90" si="5">IFERROR(IPMT($F$9/12,B49,$F$17,-$F$7),0)</f>
        <v>0</v>
      </c>
      <c r="F49" s="292">
        <f t="shared" si="0"/>
        <v>0</v>
      </c>
      <c r="G49" s="292"/>
      <c r="H49" s="3"/>
      <c r="I49" s="3"/>
      <c r="J49" s="162"/>
      <c r="L49" s="122"/>
      <c r="AC49" s="4"/>
    </row>
    <row r="50" spans="1:29" x14ac:dyDescent="0.2">
      <c r="A50" s="1">
        <v>20</v>
      </c>
      <c r="B50" s="128">
        <v>20</v>
      </c>
      <c r="C50" s="132">
        <f t="shared" ca="1" si="1"/>
        <v>46519</v>
      </c>
      <c r="D50" s="195">
        <f t="shared" si="2"/>
        <v>0</v>
      </c>
      <c r="E50" s="197">
        <f t="shared" si="5"/>
        <v>0</v>
      </c>
      <c r="F50" s="292">
        <f t="shared" si="0"/>
        <v>0</v>
      </c>
      <c r="G50" s="292"/>
      <c r="H50" s="3"/>
      <c r="I50" s="3"/>
      <c r="J50" s="162"/>
      <c r="L50" s="122"/>
      <c r="AC50" s="4"/>
    </row>
    <row r="51" spans="1:29" x14ac:dyDescent="0.2">
      <c r="A51" s="60">
        <v>21</v>
      </c>
      <c r="B51" s="128">
        <v>21</v>
      </c>
      <c r="C51" s="132">
        <f t="shared" ca="1" si="1"/>
        <v>46550</v>
      </c>
      <c r="D51" s="195">
        <f t="shared" si="2"/>
        <v>0</v>
      </c>
      <c r="E51" s="197">
        <f t="shared" si="5"/>
        <v>0</v>
      </c>
      <c r="F51" s="292">
        <f t="shared" si="0"/>
        <v>0</v>
      </c>
      <c r="G51" s="292"/>
      <c r="H51" s="3"/>
      <c r="I51" s="3"/>
      <c r="J51" s="162"/>
      <c r="L51" s="122"/>
      <c r="AC51" s="4"/>
    </row>
    <row r="52" spans="1:29" x14ac:dyDescent="0.2">
      <c r="A52" s="60">
        <v>22</v>
      </c>
      <c r="B52" s="128">
        <v>22</v>
      </c>
      <c r="C52" s="132">
        <f t="shared" ca="1" si="1"/>
        <v>46580</v>
      </c>
      <c r="D52" s="195">
        <f t="shared" si="2"/>
        <v>0</v>
      </c>
      <c r="E52" s="197">
        <f t="shared" si="5"/>
        <v>0</v>
      </c>
      <c r="F52" s="292">
        <f t="shared" si="0"/>
        <v>0</v>
      </c>
      <c r="G52" s="292"/>
      <c r="H52" s="3"/>
      <c r="I52" s="3"/>
      <c r="J52" s="4"/>
      <c r="L52" s="122"/>
      <c r="AC52" s="4"/>
    </row>
    <row r="53" spans="1:29" x14ac:dyDescent="0.2">
      <c r="A53" s="60">
        <v>25</v>
      </c>
      <c r="B53" s="128">
        <v>23</v>
      </c>
      <c r="C53" s="132">
        <f t="shared" ca="1" si="1"/>
        <v>46611</v>
      </c>
      <c r="D53" s="195">
        <f t="shared" si="2"/>
        <v>0</v>
      </c>
      <c r="E53" s="197">
        <f t="shared" si="5"/>
        <v>0</v>
      </c>
      <c r="F53" s="292">
        <f t="shared" si="0"/>
        <v>0</v>
      </c>
      <c r="G53" s="292"/>
      <c r="H53" s="3"/>
      <c r="I53" s="3"/>
      <c r="J53" s="4"/>
      <c r="L53" s="122"/>
      <c r="AC53" s="4"/>
    </row>
    <row r="54" spans="1:29" x14ac:dyDescent="0.2">
      <c r="A54" s="60"/>
      <c r="B54" s="128">
        <v>24</v>
      </c>
      <c r="C54" s="132">
        <f t="shared" ca="1" si="1"/>
        <v>46642</v>
      </c>
      <c r="D54" s="195">
        <f t="shared" si="2"/>
        <v>0</v>
      </c>
      <c r="E54" s="197">
        <f t="shared" si="5"/>
        <v>0</v>
      </c>
      <c r="F54" s="292">
        <f t="shared" si="0"/>
        <v>0</v>
      </c>
      <c r="G54" s="292"/>
      <c r="H54" s="3"/>
      <c r="I54" s="3"/>
      <c r="J54" s="4"/>
      <c r="L54" s="122"/>
      <c r="AC54" s="4"/>
    </row>
    <row r="55" spans="1:29" x14ac:dyDescent="0.2">
      <c r="A55" s="60"/>
      <c r="B55" s="128">
        <v>25</v>
      </c>
      <c r="C55" s="132">
        <f t="shared" ca="1" si="1"/>
        <v>46672</v>
      </c>
      <c r="D55" s="195">
        <f t="shared" si="2"/>
        <v>0</v>
      </c>
      <c r="E55" s="197">
        <f t="shared" si="5"/>
        <v>0</v>
      </c>
      <c r="F55" s="292">
        <f t="shared" si="0"/>
        <v>0</v>
      </c>
      <c r="G55" s="292"/>
      <c r="H55" s="3"/>
      <c r="I55" s="3"/>
      <c r="J55" s="4"/>
      <c r="L55" s="122"/>
      <c r="AC55" s="4"/>
    </row>
    <row r="56" spans="1:29" x14ac:dyDescent="0.2">
      <c r="A56" s="60"/>
      <c r="B56" s="128">
        <v>26</v>
      </c>
      <c r="C56" s="132">
        <f t="shared" ca="1" si="1"/>
        <v>46703</v>
      </c>
      <c r="D56" s="195">
        <f t="shared" si="2"/>
        <v>0</v>
      </c>
      <c r="E56" s="197">
        <f t="shared" si="5"/>
        <v>0</v>
      </c>
      <c r="F56" s="292">
        <f t="shared" si="0"/>
        <v>0</v>
      </c>
      <c r="G56" s="292"/>
      <c r="H56" s="3"/>
      <c r="I56" s="3"/>
      <c r="J56" s="4"/>
      <c r="L56" s="122"/>
      <c r="AC56" s="4"/>
    </row>
    <row r="57" spans="1:29" x14ac:dyDescent="0.2">
      <c r="A57" s="60"/>
      <c r="B57" s="128">
        <v>27</v>
      </c>
      <c r="C57" s="132">
        <f t="shared" ca="1" si="1"/>
        <v>46733</v>
      </c>
      <c r="D57" s="195">
        <f t="shared" si="2"/>
        <v>0</v>
      </c>
      <c r="E57" s="197">
        <f t="shared" si="5"/>
        <v>0</v>
      </c>
      <c r="F57" s="292">
        <f t="shared" si="0"/>
        <v>0</v>
      </c>
      <c r="G57" s="292"/>
      <c r="H57" s="3"/>
      <c r="I57" s="3"/>
      <c r="J57" s="4"/>
      <c r="L57" s="122"/>
      <c r="AC57" s="4"/>
    </row>
    <row r="58" spans="1:29" x14ac:dyDescent="0.2">
      <c r="A58" s="60"/>
      <c r="B58" s="128">
        <v>28</v>
      </c>
      <c r="C58" s="132">
        <f t="shared" ca="1" si="1"/>
        <v>46764</v>
      </c>
      <c r="D58" s="195">
        <f t="shared" si="2"/>
        <v>0</v>
      </c>
      <c r="E58" s="197">
        <f t="shared" si="5"/>
        <v>0</v>
      </c>
      <c r="F58" s="292">
        <f t="shared" si="0"/>
        <v>0</v>
      </c>
      <c r="G58" s="292"/>
      <c r="H58" s="3"/>
      <c r="I58" s="3"/>
      <c r="J58" s="4"/>
      <c r="L58" s="122"/>
      <c r="AC58" s="4"/>
    </row>
    <row r="59" spans="1:29" x14ac:dyDescent="0.2">
      <c r="A59" s="60"/>
      <c r="B59" s="128">
        <v>29</v>
      </c>
      <c r="C59" s="132">
        <f t="shared" ca="1" si="1"/>
        <v>46795</v>
      </c>
      <c r="D59" s="195">
        <f t="shared" si="2"/>
        <v>0</v>
      </c>
      <c r="E59" s="197">
        <f t="shared" si="5"/>
        <v>0</v>
      </c>
      <c r="F59" s="292">
        <f t="shared" si="0"/>
        <v>0</v>
      </c>
      <c r="G59" s="292"/>
      <c r="H59" s="3"/>
      <c r="I59" s="3"/>
      <c r="J59" s="4"/>
      <c r="L59" s="122"/>
      <c r="AC59" s="4"/>
    </row>
    <row r="60" spans="1:29" x14ac:dyDescent="0.2">
      <c r="A60" s="60">
        <v>25</v>
      </c>
      <c r="B60" s="128">
        <v>30</v>
      </c>
      <c r="C60" s="132">
        <f t="shared" ca="1" si="1"/>
        <v>46824</v>
      </c>
      <c r="D60" s="195">
        <f t="shared" si="2"/>
        <v>0</v>
      </c>
      <c r="E60" s="197">
        <f t="shared" si="5"/>
        <v>0</v>
      </c>
      <c r="F60" s="292">
        <f t="shared" si="0"/>
        <v>0</v>
      </c>
      <c r="G60" s="292"/>
      <c r="H60" s="134"/>
      <c r="I60" s="134"/>
      <c r="J60" s="4"/>
      <c r="L60" s="122"/>
      <c r="AC60" s="4"/>
    </row>
    <row r="61" spans="1:29" x14ac:dyDescent="0.2">
      <c r="A61" s="60"/>
      <c r="B61" s="128">
        <v>31</v>
      </c>
      <c r="C61" s="132">
        <f t="shared" ca="1" si="1"/>
        <v>46855</v>
      </c>
      <c r="D61" s="195">
        <f t="shared" si="2"/>
        <v>0</v>
      </c>
      <c r="E61" s="197">
        <f t="shared" si="5"/>
        <v>0</v>
      </c>
      <c r="F61" s="292">
        <f t="shared" si="0"/>
        <v>0</v>
      </c>
      <c r="G61" s="292"/>
      <c r="H61" s="134"/>
      <c r="I61" s="134"/>
      <c r="J61" s="4"/>
      <c r="L61" s="122"/>
      <c r="AC61" s="4"/>
    </row>
    <row r="62" spans="1:29" x14ac:dyDescent="0.2">
      <c r="A62" s="60"/>
      <c r="B62" s="128">
        <v>32</v>
      </c>
      <c r="C62" s="132">
        <f t="shared" ca="1" si="1"/>
        <v>46885</v>
      </c>
      <c r="D62" s="195">
        <f t="shared" si="2"/>
        <v>0</v>
      </c>
      <c r="E62" s="197">
        <f t="shared" si="5"/>
        <v>0</v>
      </c>
      <c r="F62" s="292">
        <f t="shared" si="0"/>
        <v>0</v>
      </c>
      <c r="G62" s="292"/>
      <c r="H62" s="134"/>
      <c r="I62" s="134"/>
      <c r="J62" s="4"/>
      <c r="L62" s="122"/>
      <c r="AC62" s="4"/>
    </row>
    <row r="63" spans="1:29" x14ac:dyDescent="0.2">
      <c r="A63" s="60"/>
      <c r="B63" s="128">
        <v>33</v>
      </c>
      <c r="C63" s="132">
        <f t="shared" ca="1" si="1"/>
        <v>46916</v>
      </c>
      <c r="D63" s="195">
        <f t="shared" si="2"/>
        <v>0</v>
      </c>
      <c r="E63" s="197">
        <f t="shared" si="5"/>
        <v>0</v>
      </c>
      <c r="F63" s="292">
        <f t="shared" ref="F63:F90" si="6">SUM(D63:E63)</f>
        <v>0</v>
      </c>
      <c r="G63" s="292"/>
      <c r="H63" s="134"/>
      <c r="I63" s="134"/>
      <c r="J63" s="4"/>
      <c r="L63" s="122"/>
      <c r="AC63" s="4"/>
    </row>
    <row r="64" spans="1:29" x14ac:dyDescent="0.2">
      <c r="A64" s="60"/>
      <c r="B64" s="128">
        <v>34</v>
      </c>
      <c r="C64" s="132">
        <f t="shared" ca="1" si="1"/>
        <v>46946</v>
      </c>
      <c r="D64" s="195">
        <f t="shared" si="2"/>
        <v>0</v>
      </c>
      <c r="E64" s="197">
        <f t="shared" si="5"/>
        <v>0</v>
      </c>
      <c r="F64" s="292">
        <f t="shared" si="6"/>
        <v>0</v>
      </c>
      <c r="G64" s="292"/>
      <c r="H64" s="134"/>
      <c r="I64" s="134"/>
      <c r="J64" s="4"/>
      <c r="L64" s="122"/>
      <c r="AC64" s="4"/>
    </row>
    <row r="65" spans="1:29" x14ac:dyDescent="0.2">
      <c r="A65" s="60"/>
      <c r="B65" s="128">
        <v>35</v>
      </c>
      <c r="C65" s="132">
        <f t="shared" ca="1" si="1"/>
        <v>46977</v>
      </c>
      <c r="D65" s="195">
        <f t="shared" si="2"/>
        <v>0</v>
      </c>
      <c r="E65" s="197">
        <f t="shared" si="5"/>
        <v>0</v>
      </c>
      <c r="F65" s="292">
        <f t="shared" si="6"/>
        <v>0</v>
      </c>
      <c r="G65" s="292"/>
      <c r="H65" s="134"/>
      <c r="I65" s="134"/>
      <c r="J65" s="4"/>
      <c r="L65" s="122"/>
      <c r="AC65" s="4"/>
    </row>
    <row r="66" spans="1:29" x14ac:dyDescent="0.2">
      <c r="A66" s="60"/>
      <c r="B66" s="128">
        <v>36</v>
      </c>
      <c r="C66" s="132">
        <f t="shared" ca="1" si="1"/>
        <v>47008</v>
      </c>
      <c r="D66" s="195">
        <f t="shared" si="2"/>
        <v>0</v>
      </c>
      <c r="E66" s="197">
        <f t="shared" si="5"/>
        <v>0</v>
      </c>
      <c r="F66" s="292">
        <f t="shared" si="6"/>
        <v>0</v>
      </c>
      <c r="G66" s="292"/>
      <c r="H66" s="134"/>
      <c r="I66" s="134"/>
      <c r="J66" s="4"/>
      <c r="L66" s="122"/>
      <c r="AC66" s="4"/>
    </row>
    <row r="67" spans="1:29" x14ac:dyDescent="0.2">
      <c r="A67" s="60"/>
      <c r="B67" s="128">
        <v>37</v>
      </c>
      <c r="C67" s="132">
        <f t="shared" ca="1" si="1"/>
        <v>47038</v>
      </c>
      <c r="D67" s="195">
        <f t="shared" si="2"/>
        <v>0</v>
      </c>
      <c r="E67" s="197">
        <f t="shared" si="5"/>
        <v>0</v>
      </c>
      <c r="F67" s="292">
        <f t="shared" si="6"/>
        <v>0</v>
      </c>
      <c r="G67" s="292"/>
      <c r="H67" s="134"/>
      <c r="I67" s="134"/>
      <c r="J67" s="4"/>
      <c r="L67" s="122"/>
      <c r="AC67" s="4"/>
    </row>
    <row r="68" spans="1:29" x14ac:dyDescent="0.2">
      <c r="A68" s="60"/>
      <c r="B68" s="128">
        <v>38</v>
      </c>
      <c r="C68" s="132">
        <f t="shared" ca="1" si="1"/>
        <v>47069</v>
      </c>
      <c r="D68" s="195">
        <f t="shared" si="2"/>
        <v>0</v>
      </c>
      <c r="E68" s="197">
        <f t="shared" si="5"/>
        <v>0</v>
      </c>
      <c r="F68" s="292">
        <f t="shared" si="6"/>
        <v>0</v>
      </c>
      <c r="G68" s="292"/>
      <c r="H68" s="134"/>
      <c r="I68" s="134"/>
      <c r="J68" s="4"/>
      <c r="L68" s="122"/>
      <c r="AC68" s="4"/>
    </row>
    <row r="69" spans="1:29" x14ac:dyDescent="0.2">
      <c r="A69" s="60"/>
      <c r="B69" s="128">
        <v>39</v>
      </c>
      <c r="C69" s="132">
        <f t="shared" ca="1" si="1"/>
        <v>47099</v>
      </c>
      <c r="D69" s="195">
        <f t="shared" si="2"/>
        <v>0</v>
      </c>
      <c r="E69" s="197">
        <f t="shared" si="5"/>
        <v>0</v>
      </c>
      <c r="F69" s="292">
        <f t="shared" si="6"/>
        <v>0</v>
      </c>
      <c r="G69" s="292"/>
      <c r="H69" s="134"/>
      <c r="I69" s="134"/>
      <c r="J69" s="4"/>
      <c r="L69" s="122"/>
      <c r="AC69" s="4"/>
    </row>
    <row r="70" spans="1:29" x14ac:dyDescent="0.2">
      <c r="A70" s="60"/>
      <c r="B70" s="128">
        <v>40</v>
      </c>
      <c r="C70" s="132">
        <f t="shared" ca="1" si="1"/>
        <v>47130</v>
      </c>
      <c r="D70" s="195">
        <f t="shared" si="2"/>
        <v>0</v>
      </c>
      <c r="E70" s="197">
        <f t="shared" si="5"/>
        <v>0</v>
      </c>
      <c r="F70" s="292">
        <f t="shared" si="6"/>
        <v>0</v>
      </c>
      <c r="G70" s="292"/>
      <c r="H70" s="134"/>
      <c r="I70" s="134"/>
      <c r="J70" s="4"/>
      <c r="L70" s="122"/>
      <c r="AC70" s="4"/>
    </row>
    <row r="71" spans="1:29" x14ac:dyDescent="0.2">
      <c r="A71" s="60"/>
      <c r="B71" s="128">
        <v>41</v>
      </c>
      <c r="C71" s="132">
        <f t="shared" ca="1" si="1"/>
        <v>47161</v>
      </c>
      <c r="D71" s="195">
        <f t="shared" si="2"/>
        <v>0</v>
      </c>
      <c r="E71" s="197">
        <f t="shared" si="5"/>
        <v>0</v>
      </c>
      <c r="F71" s="292">
        <f t="shared" si="6"/>
        <v>0</v>
      </c>
      <c r="G71" s="292"/>
      <c r="H71" s="134"/>
      <c r="I71" s="134"/>
      <c r="J71" s="4"/>
      <c r="L71" s="122"/>
      <c r="AC71" s="4"/>
    </row>
    <row r="72" spans="1:29" x14ac:dyDescent="0.2">
      <c r="A72" s="60"/>
      <c r="B72" s="128">
        <v>42</v>
      </c>
      <c r="C72" s="132">
        <f t="shared" ca="1" si="1"/>
        <v>47189</v>
      </c>
      <c r="D72" s="195">
        <f t="shared" si="2"/>
        <v>0</v>
      </c>
      <c r="E72" s="197">
        <f t="shared" si="5"/>
        <v>0</v>
      </c>
      <c r="F72" s="292">
        <f t="shared" si="6"/>
        <v>0</v>
      </c>
      <c r="G72" s="292"/>
      <c r="H72" s="134"/>
      <c r="I72" s="134"/>
      <c r="J72" s="4"/>
      <c r="L72" s="122"/>
      <c r="AC72" s="4"/>
    </row>
    <row r="73" spans="1:29" x14ac:dyDescent="0.2">
      <c r="A73" s="60"/>
      <c r="B73" s="128">
        <v>43</v>
      </c>
      <c r="C73" s="132">
        <f t="shared" ca="1" si="1"/>
        <v>47220</v>
      </c>
      <c r="D73" s="195">
        <f t="shared" si="2"/>
        <v>0</v>
      </c>
      <c r="E73" s="197">
        <f t="shared" si="5"/>
        <v>0</v>
      </c>
      <c r="F73" s="292">
        <f t="shared" si="6"/>
        <v>0</v>
      </c>
      <c r="G73" s="292"/>
      <c r="H73" s="134"/>
      <c r="I73" s="134"/>
      <c r="J73" s="4"/>
      <c r="L73" s="122"/>
      <c r="AC73" s="4"/>
    </row>
    <row r="74" spans="1:29" x14ac:dyDescent="0.2">
      <c r="A74" s="60"/>
      <c r="B74" s="128">
        <v>44</v>
      </c>
      <c r="C74" s="132">
        <f t="shared" ca="1" si="1"/>
        <v>47250</v>
      </c>
      <c r="D74" s="195">
        <f t="shared" si="2"/>
        <v>0</v>
      </c>
      <c r="E74" s="197">
        <f t="shared" si="5"/>
        <v>0</v>
      </c>
      <c r="F74" s="292">
        <f t="shared" si="6"/>
        <v>0</v>
      </c>
      <c r="G74" s="292"/>
      <c r="H74" s="134"/>
      <c r="I74" s="134"/>
      <c r="J74" s="4"/>
      <c r="L74" s="122"/>
      <c r="AC74" s="4"/>
    </row>
    <row r="75" spans="1:29" x14ac:dyDescent="0.2">
      <c r="A75" s="60"/>
      <c r="B75" s="128">
        <v>45</v>
      </c>
      <c r="C75" s="132">
        <f t="shared" ca="1" si="1"/>
        <v>47281</v>
      </c>
      <c r="D75" s="195">
        <f t="shared" si="2"/>
        <v>0</v>
      </c>
      <c r="E75" s="197">
        <f t="shared" si="5"/>
        <v>0</v>
      </c>
      <c r="F75" s="292">
        <f t="shared" si="6"/>
        <v>0</v>
      </c>
      <c r="G75" s="292"/>
      <c r="H75" s="134"/>
      <c r="I75" s="134"/>
      <c r="J75" s="4"/>
      <c r="L75" s="122"/>
      <c r="AC75" s="4"/>
    </row>
    <row r="76" spans="1:29" x14ac:dyDescent="0.2">
      <c r="A76" s="60"/>
      <c r="B76" s="128">
        <v>46</v>
      </c>
      <c r="C76" s="132">
        <f t="shared" ca="1" si="1"/>
        <v>47311</v>
      </c>
      <c r="D76" s="195">
        <f t="shared" si="2"/>
        <v>0</v>
      </c>
      <c r="E76" s="197">
        <f t="shared" si="5"/>
        <v>0</v>
      </c>
      <c r="F76" s="292">
        <f t="shared" si="6"/>
        <v>0</v>
      </c>
      <c r="G76" s="292"/>
      <c r="H76" s="134"/>
      <c r="I76" s="134"/>
      <c r="J76" s="4"/>
      <c r="L76" s="122"/>
      <c r="AC76" s="4"/>
    </row>
    <row r="77" spans="1:29" x14ac:dyDescent="0.2">
      <c r="A77" s="60"/>
      <c r="B77" s="128">
        <v>47</v>
      </c>
      <c r="C77" s="132">
        <f t="shared" ca="1" si="1"/>
        <v>47342</v>
      </c>
      <c r="D77" s="195">
        <f t="shared" si="2"/>
        <v>0</v>
      </c>
      <c r="E77" s="197">
        <f t="shared" si="5"/>
        <v>0</v>
      </c>
      <c r="F77" s="292">
        <f t="shared" si="6"/>
        <v>0</v>
      </c>
      <c r="G77" s="292"/>
      <c r="H77" s="134"/>
      <c r="I77" s="134"/>
      <c r="J77" s="4"/>
      <c r="L77" s="122"/>
      <c r="AC77" s="4"/>
    </row>
    <row r="78" spans="1:29" x14ac:dyDescent="0.2">
      <c r="A78" s="60"/>
      <c r="B78" s="128">
        <v>48</v>
      </c>
      <c r="C78" s="132">
        <f t="shared" ca="1" si="1"/>
        <v>47373</v>
      </c>
      <c r="D78" s="195">
        <f t="shared" si="2"/>
        <v>0</v>
      </c>
      <c r="E78" s="197">
        <f t="shared" si="5"/>
        <v>0</v>
      </c>
      <c r="F78" s="292">
        <f t="shared" si="6"/>
        <v>0</v>
      </c>
      <c r="G78" s="292"/>
      <c r="H78" s="134"/>
      <c r="I78" s="134"/>
      <c r="J78" s="4"/>
      <c r="L78" s="122"/>
      <c r="AC78" s="4"/>
    </row>
    <row r="79" spans="1:29" x14ac:dyDescent="0.2">
      <c r="A79" s="60"/>
      <c r="B79" s="128">
        <v>49</v>
      </c>
      <c r="C79" s="132">
        <f t="shared" ca="1" si="1"/>
        <v>47403</v>
      </c>
      <c r="D79" s="195">
        <f t="shared" si="2"/>
        <v>0</v>
      </c>
      <c r="E79" s="197">
        <f t="shared" si="5"/>
        <v>0</v>
      </c>
      <c r="F79" s="292">
        <f t="shared" si="6"/>
        <v>0</v>
      </c>
      <c r="G79" s="292"/>
      <c r="H79" s="134"/>
      <c r="I79" s="134"/>
      <c r="J79" s="4"/>
      <c r="L79" s="122"/>
      <c r="AC79" s="4"/>
    </row>
    <row r="80" spans="1:29" x14ac:dyDescent="0.2">
      <c r="A80" s="60"/>
      <c r="B80" s="128">
        <v>50</v>
      </c>
      <c r="C80" s="132">
        <f t="shared" ca="1" si="1"/>
        <v>47434</v>
      </c>
      <c r="D80" s="195">
        <f t="shared" si="2"/>
        <v>0</v>
      </c>
      <c r="E80" s="197">
        <f t="shared" si="5"/>
        <v>0</v>
      </c>
      <c r="F80" s="292">
        <f t="shared" si="6"/>
        <v>0</v>
      </c>
      <c r="G80" s="292"/>
      <c r="H80" s="134"/>
      <c r="I80" s="134"/>
      <c r="J80" s="4"/>
      <c r="L80" s="122"/>
      <c r="AC80" s="4"/>
    </row>
    <row r="81" spans="1:29" x14ac:dyDescent="0.2">
      <c r="A81" s="60"/>
      <c r="B81" s="128">
        <v>51</v>
      </c>
      <c r="C81" s="132">
        <f t="shared" ca="1" si="1"/>
        <v>47464</v>
      </c>
      <c r="D81" s="195">
        <f t="shared" si="2"/>
        <v>0</v>
      </c>
      <c r="E81" s="197">
        <f t="shared" si="5"/>
        <v>0</v>
      </c>
      <c r="F81" s="292">
        <f t="shared" si="6"/>
        <v>0</v>
      </c>
      <c r="G81" s="292"/>
      <c r="H81" s="134"/>
      <c r="I81" s="134"/>
      <c r="J81" s="4"/>
      <c r="L81" s="122"/>
      <c r="AC81" s="4"/>
    </row>
    <row r="82" spans="1:29" x14ac:dyDescent="0.2">
      <c r="A82" s="60"/>
      <c r="B82" s="128">
        <v>52</v>
      </c>
      <c r="C82" s="132">
        <f t="shared" ca="1" si="1"/>
        <v>47495</v>
      </c>
      <c r="D82" s="195">
        <f t="shared" si="2"/>
        <v>0</v>
      </c>
      <c r="E82" s="197">
        <f t="shared" si="5"/>
        <v>0</v>
      </c>
      <c r="F82" s="292">
        <f t="shared" si="6"/>
        <v>0</v>
      </c>
      <c r="G82" s="292"/>
      <c r="H82" s="134"/>
      <c r="I82" s="134"/>
      <c r="J82" s="4"/>
      <c r="L82" s="122"/>
      <c r="AC82" s="4"/>
    </row>
    <row r="83" spans="1:29" x14ac:dyDescent="0.2">
      <c r="A83" s="60"/>
      <c r="B83" s="128">
        <v>53</v>
      </c>
      <c r="C83" s="132">
        <f t="shared" ca="1" si="1"/>
        <v>47526</v>
      </c>
      <c r="D83" s="195">
        <f t="shared" si="2"/>
        <v>0</v>
      </c>
      <c r="E83" s="197">
        <f t="shared" si="5"/>
        <v>0</v>
      </c>
      <c r="F83" s="292">
        <f t="shared" si="6"/>
        <v>0</v>
      </c>
      <c r="G83" s="292"/>
      <c r="H83" s="134"/>
      <c r="I83" s="134"/>
      <c r="J83" s="4"/>
      <c r="L83" s="122"/>
      <c r="AC83" s="4"/>
    </row>
    <row r="84" spans="1:29" x14ac:dyDescent="0.2">
      <c r="A84" s="60"/>
      <c r="B84" s="128">
        <v>54</v>
      </c>
      <c r="C84" s="132">
        <f t="shared" ca="1" si="1"/>
        <v>47554</v>
      </c>
      <c r="D84" s="195">
        <f t="shared" si="2"/>
        <v>0</v>
      </c>
      <c r="E84" s="197">
        <f t="shared" si="5"/>
        <v>0</v>
      </c>
      <c r="F84" s="292">
        <f t="shared" si="6"/>
        <v>0</v>
      </c>
      <c r="G84" s="292"/>
      <c r="H84" s="134"/>
      <c r="I84" s="134"/>
      <c r="J84" s="4"/>
      <c r="L84" s="122"/>
      <c r="AC84" s="4"/>
    </row>
    <row r="85" spans="1:29" x14ac:dyDescent="0.2">
      <c r="A85" s="60"/>
      <c r="B85" s="128">
        <v>55</v>
      </c>
      <c r="C85" s="132">
        <f t="shared" ca="1" si="1"/>
        <v>47585</v>
      </c>
      <c r="D85" s="195">
        <f t="shared" si="2"/>
        <v>0</v>
      </c>
      <c r="E85" s="197">
        <f t="shared" si="5"/>
        <v>0</v>
      </c>
      <c r="F85" s="292">
        <f t="shared" si="6"/>
        <v>0</v>
      </c>
      <c r="G85" s="292"/>
      <c r="H85" s="134"/>
      <c r="I85" s="134"/>
      <c r="J85" s="4"/>
      <c r="L85" s="122"/>
      <c r="AC85" s="4"/>
    </row>
    <row r="86" spans="1:29" x14ac:dyDescent="0.2">
      <c r="A86" s="60"/>
      <c r="B86" s="128">
        <v>56</v>
      </c>
      <c r="C86" s="132">
        <f t="shared" ca="1" si="1"/>
        <v>47615</v>
      </c>
      <c r="D86" s="195">
        <f t="shared" si="2"/>
        <v>0</v>
      </c>
      <c r="E86" s="197">
        <f t="shared" si="5"/>
        <v>0</v>
      </c>
      <c r="F86" s="292">
        <f t="shared" si="6"/>
        <v>0</v>
      </c>
      <c r="G86" s="292"/>
      <c r="H86" s="134"/>
      <c r="I86" s="134"/>
      <c r="J86" s="4"/>
      <c r="L86" s="122"/>
      <c r="AC86" s="4"/>
    </row>
    <row r="87" spans="1:29" x14ac:dyDescent="0.2">
      <c r="A87" s="60"/>
      <c r="B87" s="128">
        <v>57</v>
      </c>
      <c r="C87" s="132">
        <f t="shared" ca="1" si="1"/>
        <v>47646</v>
      </c>
      <c r="D87" s="195">
        <f t="shared" si="2"/>
        <v>0</v>
      </c>
      <c r="E87" s="197">
        <f t="shared" si="5"/>
        <v>0</v>
      </c>
      <c r="F87" s="292">
        <f t="shared" si="6"/>
        <v>0</v>
      </c>
      <c r="G87" s="292"/>
      <c r="H87" s="134"/>
      <c r="I87" s="134"/>
      <c r="J87" s="4"/>
      <c r="L87" s="122"/>
      <c r="AC87" s="4"/>
    </row>
    <row r="88" spans="1:29" x14ac:dyDescent="0.2">
      <c r="A88" s="60"/>
      <c r="B88" s="128">
        <v>58</v>
      </c>
      <c r="C88" s="132">
        <f t="shared" ca="1" si="1"/>
        <v>47676</v>
      </c>
      <c r="D88" s="195">
        <f t="shared" si="2"/>
        <v>0</v>
      </c>
      <c r="E88" s="197">
        <f t="shared" si="5"/>
        <v>0</v>
      </c>
      <c r="F88" s="292">
        <f t="shared" si="6"/>
        <v>0</v>
      </c>
      <c r="G88" s="292"/>
      <c r="H88" s="134"/>
      <c r="I88" s="134"/>
      <c r="J88" s="4"/>
      <c r="L88" s="122"/>
      <c r="AC88" s="4"/>
    </row>
    <row r="89" spans="1:29" x14ac:dyDescent="0.2">
      <c r="A89" s="60"/>
      <c r="B89" s="128">
        <v>59</v>
      </c>
      <c r="C89" s="132">
        <f t="shared" ca="1" si="1"/>
        <v>47707</v>
      </c>
      <c r="D89" s="195">
        <f t="shared" si="2"/>
        <v>0</v>
      </c>
      <c r="E89" s="197">
        <f t="shared" si="5"/>
        <v>0</v>
      </c>
      <c r="F89" s="292">
        <f t="shared" si="6"/>
        <v>0</v>
      </c>
      <c r="G89" s="292"/>
      <c r="H89" s="134"/>
      <c r="I89" s="134"/>
      <c r="J89" s="4"/>
      <c r="L89" s="122"/>
      <c r="AC89" s="4"/>
    </row>
    <row r="90" spans="1:29" ht="13.5" thickBot="1" x14ac:dyDescent="0.25">
      <c r="A90" s="60"/>
      <c r="B90" s="191">
        <v>60</v>
      </c>
      <c r="C90" s="192">
        <f t="shared" ca="1" si="1"/>
        <v>47738</v>
      </c>
      <c r="D90" s="195">
        <f t="shared" si="2"/>
        <v>0</v>
      </c>
      <c r="E90" s="200">
        <f t="shared" si="5"/>
        <v>0</v>
      </c>
      <c r="F90" s="296">
        <f t="shared" si="6"/>
        <v>0</v>
      </c>
      <c r="G90" s="296"/>
      <c r="H90" s="134"/>
      <c r="I90" s="134"/>
      <c r="J90" s="4"/>
      <c r="L90" s="122"/>
      <c r="AC90" s="4"/>
    </row>
    <row r="91" spans="1:29" ht="16.5" thickBot="1" x14ac:dyDescent="0.25">
      <c r="A91" s="60"/>
      <c r="B91" s="275" t="s">
        <v>3</v>
      </c>
      <c r="C91" s="293"/>
      <c r="D91" s="202">
        <f>SUM(D31:D90)</f>
        <v>0</v>
      </c>
      <c r="E91" s="202">
        <f>SUM(E31:E90)</f>
        <v>0</v>
      </c>
      <c r="F91" s="294">
        <f>SUM(F31:G90)</f>
        <v>0</v>
      </c>
      <c r="G91" s="295"/>
      <c r="H91" s="134"/>
      <c r="I91" s="134"/>
      <c r="J91" s="4"/>
      <c r="L91" s="122"/>
      <c r="AC91" s="4"/>
    </row>
    <row r="92" spans="1:29" x14ac:dyDescent="0.2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">
      <c r="A93" s="60"/>
      <c r="B93" s="2"/>
      <c r="C93" s="33"/>
      <c r="D93" s="34"/>
      <c r="E93" s="279" t="s">
        <v>5</v>
      </c>
      <c r="F93" s="279"/>
      <c r="G93" s="279"/>
      <c r="I93" s="134"/>
      <c r="J93" s="134"/>
    </row>
    <row r="94" spans="1:29" x14ac:dyDescent="0.2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selectLockedCells="1"/>
  <dataConsolidate/>
  <mergeCells count="88"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B17:E17"/>
    <mergeCell ref="G17:H17"/>
    <mergeCell ref="B20:E20"/>
    <mergeCell ref="G20:H20"/>
    <mergeCell ref="B22:E22"/>
    <mergeCell ref="G22:H22"/>
    <mergeCell ref="B9:E9"/>
    <mergeCell ref="G9:H9"/>
    <mergeCell ref="B13:E13"/>
    <mergeCell ref="G13:H13"/>
    <mergeCell ref="B15:E15"/>
    <mergeCell ref="G15:H15"/>
    <mergeCell ref="B11:E11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500-000000000000}">
      <formula1>$K$20:$K$23</formula1>
    </dataValidation>
  </dataValidations>
  <pageMargins left="0.39370078740157483" right="0.35433070866141736" top="0.59055118110236227" bottom="0.59055118110236227" header="0.51181102362204722" footer="0.51181102362204722"/>
  <pageSetup paperSize="9" scale="65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122" customWidth="1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">
      <c r="A2" s="2"/>
      <c r="B2" s="61"/>
      <c r="C2" s="61"/>
      <c r="D2" s="61"/>
      <c r="E2" s="139">
        <f>VLOOKUP('Стабільний СК'!H2,Лист2!A:O,14,FALSE)</f>
        <v>9090.9089999999997</v>
      </c>
      <c r="F2" s="126">
        <f>VLOOKUP(H$2,Лист2!$A:$H,2,0)</f>
        <v>454545.45</v>
      </c>
      <c r="G2" s="185">
        <f ca="1">TODAY()</f>
        <v>45912</v>
      </c>
      <c r="H2" s="249" t="s">
        <v>95</v>
      </c>
      <c r="I2" s="25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100000</v>
      </c>
      <c r="F3" s="251" t="str">
        <f>IF(E3="x","Збільшіть суму",IF(E3="y","Зменшіть суму",""))</f>
        <v/>
      </c>
      <c r="G3" s="77">
        <f>Назви!B35</f>
        <v>30.4</v>
      </c>
      <c r="H3" s="253" t="str">
        <f>VLOOKUP(H$2,Лист2!$A:$H,7,0)</f>
        <v>max. 454545,45 грн.</v>
      </c>
      <c r="I3" s="254"/>
      <c r="J3" s="50"/>
    </row>
    <row r="4" spans="1:29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25">
      <c r="A5" s="1"/>
      <c r="B5" s="283" t="s">
        <v>82</v>
      </c>
      <c r="C5" s="284"/>
      <c r="D5" s="284"/>
      <c r="E5" s="285"/>
      <c r="F5" s="205">
        <v>100000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8" t="s">
        <v>81</v>
      </c>
      <c r="C7" s="259"/>
      <c r="D7" s="259"/>
      <c r="E7" s="260"/>
      <c r="F7" s="13">
        <f>D89</f>
        <v>110000.00000000003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>
        <f>VLOOKUP(H$2,Лист2!$A:$H,4,0)</f>
        <v>0.47989999999999999</v>
      </c>
      <c r="G9" s="286"/>
      <c r="H9" s="286"/>
      <c r="I9" s="3"/>
      <c r="J9" s="51"/>
      <c r="K9" s="162" t="str">
        <f>Лист2!A4</f>
        <v>Стабільний СК, 60 міс.</v>
      </c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 t="str">
        <f>Лист2!A5</f>
        <v>Стабільний СК, 36 міс.</v>
      </c>
    </row>
    <row r="11" spans="1:29" ht="12.6" customHeight="1" x14ac:dyDescent="0.2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>
        <f>VLOOKUP(H$2,Лист2!$A:$H,5,0)</f>
        <v>0.1</v>
      </c>
      <c r="G11" s="286"/>
      <c r="H11" s="286"/>
      <c r="I11" s="3"/>
      <c r="J11" s="51"/>
      <c r="K11" s="162" t="str">
        <f>Лист2!A6</f>
        <v>Стабільний СК, 24 міс.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str">
        <f>Лист2!A7</f>
        <v>Стабільний СК, 12 міс.</v>
      </c>
    </row>
    <row r="13" spans="1:29" x14ac:dyDescent="0.2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>
        <f>VLOOKUP(H$2,Лист2!$A:$H,6,0)</f>
        <v>0</v>
      </c>
      <c r="G13" s="286"/>
      <c r="H13" s="28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>
        <f>VLOOKUP(H$2,Лист2!$A:$H,3,0)</f>
        <v>60</v>
      </c>
      <c r="G15" s="286"/>
      <c r="H15" s="286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>
        <f>F5*F11</f>
        <v>10000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110000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>
        <f>PMT(F9/12,F15,-E17)+F13*E17</f>
        <v>4861.4355814420478</v>
      </c>
      <c r="G18" s="289"/>
      <c r="H18" s="290"/>
      <c r="I18" s="133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>
        <f>G89-E3</f>
        <v>191686.13488652307</v>
      </c>
      <c r="G20" s="291"/>
      <c r="H20" s="291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e">
        <f>Лист2!#REF!</f>
        <v>#REF!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>
        <f>F7+F20</f>
        <v>301686.13488652313</v>
      </c>
      <c r="G22" s="286"/>
      <c r="H22" s="28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>
        <f ca="1">XIRR(G28:G88,C28:C88)</f>
        <v>0.69981003999710101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45912</v>
      </c>
      <c r="D28" s="113"/>
      <c r="E28" s="114"/>
      <c r="F28" s="113"/>
      <c r="G28" s="287">
        <f>-1*E3</f>
        <v>-100000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214">
        <v>1</v>
      </c>
      <c r="C29" s="211">
        <f ca="1">DATE(YEAR(C28),MONTH(C28)+1,DAY(C28))</f>
        <v>45942</v>
      </c>
      <c r="D29" s="207">
        <f>IFERROR(PPMT($F$9/12,B29,$F$15,-$E$17),0)</f>
        <v>462.35224810871489</v>
      </c>
      <c r="E29" s="194">
        <v>0</v>
      </c>
      <c r="F29" s="194">
        <f>IFERROR(IPMT($F$9/12,B29,$F$15,-$F$7),0)</f>
        <v>4399.0833333333348</v>
      </c>
      <c r="G29" s="273">
        <f>SUM(D29:F29)</f>
        <v>4861.4355814420496</v>
      </c>
      <c r="H29" s="274"/>
      <c r="I29" s="3"/>
      <c r="K29" s="162" t="e">
        <f>Лист2!#REF!</f>
        <v>#REF!</v>
      </c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45973</v>
      </c>
      <c r="D30" s="208">
        <f t="shared" ref="D30:D88" si="1">IFERROR(PPMT($F$9/12,B30,$F$15,-$E$17),0)</f>
        <v>480.84248509766246</v>
      </c>
      <c r="E30" s="196">
        <v>0</v>
      </c>
      <c r="F30" s="196">
        <f t="shared" ref="F30:F88" si="2">IFERROR(IPMT($F$9/12,B30,$F$15,-$F$7),0)</f>
        <v>4380.5930963443861</v>
      </c>
      <c r="G30" s="292">
        <f t="shared" ref="G30:G88" si="3">SUM(D30:F30)</f>
        <v>4861.4355814420487</v>
      </c>
      <c r="H30" s="297"/>
      <c r="I30" s="3"/>
      <c r="K30" s="162" t="e">
        <f>Лист2!#REF!</f>
        <v>#REF!</v>
      </c>
    </row>
    <row r="31" spans="1:29" x14ac:dyDescent="0.2">
      <c r="A31" s="1">
        <v>3</v>
      </c>
      <c r="B31" s="215">
        <v>3</v>
      </c>
      <c r="C31" s="212">
        <f t="shared" ca="1" si="0"/>
        <v>46003</v>
      </c>
      <c r="D31" s="208">
        <f t="shared" si="1"/>
        <v>500.07217748085975</v>
      </c>
      <c r="E31" s="196">
        <v>0</v>
      </c>
      <c r="F31" s="196">
        <f t="shared" si="2"/>
        <v>4361.3634039611889</v>
      </c>
      <c r="G31" s="292">
        <f t="shared" si="3"/>
        <v>4861.4355814420487</v>
      </c>
      <c r="H31" s="297"/>
      <c r="I31" s="3"/>
      <c r="K31" s="162" t="e">
        <f>Лист2!#REF!</f>
        <v>#REF!</v>
      </c>
    </row>
    <row r="32" spans="1:29" x14ac:dyDescent="0.2">
      <c r="A32" s="1">
        <v>4</v>
      </c>
      <c r="B32" s="215">
        <v>4</v>
      </c>
      <c r="C32" s="212">
        <f t="shared" ca="1" si="0"/>
        <v>46034</v>
      </c>
      <c r="D32" s="208">
        <f t="shared" si="1"/>
        <v>520.07089731194856</v>
      </c>
      <c r="E32" s="196">
        <v>0</v>
      </c>
      <c r="F32" s="196">
        <f t="shared" si="2"/>
        <v>4341.3646841301006</v>
      </c>
      <c r="G32" s="292">
        <f t="shared" si="3"/>
        <v>4861.4355814420487</v>
      </c>
      <c r="H32" s="297"/>
      <c r="I32" s="3"/>
      <c r="K32" s="162" t="e">
        <f>Лист2!#REF!</f>
        <v>#REF!</v>
      </c>
    </row>
    <row r="33" spans="1:11" x14ac:dyDescent="0.2">
      <c r="A33" s="1">
        <v>5</v>
      </c>
      <c r="B33" s="215">
        <v>5</v>
      </c>
      <c r="C33" s="212">
        <f t="shared" ca="1" si="0"/>
        <v>46065</v>
      </c>
      <c r="D33" s="208">
        <f t="shared" si="1"/>
        <v>540.86939928028221</v>
      </c>
      <c r="E33" s="196">
        <v>0</v>
      </c>
      <c r="F33" s="196">
        <f t="shared" si="2"/>
        <v>4320.5661821617678</v>
      </c>
      <c r="G33" s="292">
        <f t="shared" si="3"/>
        <v>4861.4355814420496</v>
      </c>
      <c r="H33" s="297"/>
      <c r="I33" s="3"/>
      <c r="K33" s="162" t="e">
        <f>Лист2!#REF!</f>
        <v>#REF!</v>
      </c>
    </row>
    <row r="34" spans="1:11" x14ac:dyDescent="0.2">
      <c r="A34" s="1">
        <v>6</v>
      </c>
      <c r="B34" s="215">
        <v>6</v>
      </c>
      <c r="C34" s="212">
        <f t="shared" ca="1" si="0"/>
        <v>46093</v>
      </c>
      <c r="D34" s="208">
        <f t="shared" si="1"/>
        <v>562.49966800649963</v>
      </c>
      <c r="E34" s="196">
        <v>0</v>
      </c>
      <c r="F34" s="196">
        <f t="shared" si="2"/>
        <v>4298.9359134355491</v>
      </c>
      <c r="G34" s="292">
        <f t="shared" si="3"/>
        <v>4861.4355814420487</v>
      </c>
      <c r="H34" s="297"/>
      <c r="I34" s="3"/>
      <c r="K34" s="162" t="e">
        <f>Лист2!#REF!</f>
        <v>#REF!</v>
      </c>
    </row>
    <row r="35" spans="1:11" x14ac:dyDescent="0.2">
      <c r="A35" s="1">
        <v>7</v>
      </c>
      <c r="B35" s="215">
        <v>7</v>
      </c>
      <c r="C35" s="212">
        <f t="shared" ca="1" si="0"/>
        <v>46124</v>
      </c>
      <c r="D35" s="208">
        <f t="shared" si="1"/>
        <v>584.99496722952608</v>
      </c>
      <c r="E35" s="196">
        <v>0</v>
      </c>
      <c r="F35" s="196">
        <f t="shared" si="2"/>
        <v>4276.4406142125235</v>
      </c>
      <c r="G35" s="292">
        <f t="shared" si="3"/>
        <v>4861.4355814420496</v>
      </c>
      <c r="H35" s="297"/>
      <c r="I35" s="3"/>
      <c r="K35" s="162" t="e">
        <f>Лист2!#REF!</f>
        <v>#REF!</v>
      </c>
    </row>
    <row r="36" spans="1:11" x14ac:dyDescent="0.2">
      <c r="A36" s="1">
        <v>8</v>
      </c>
      <c r="B36" s="215">
        <v>8</v>
      </c>
      <c r="C36" s="212">
        <f t="shared" ca="1" si="0"/>
        <v>46154</v>
      </c>
      <c r="D36" s="208">
        <f t="shared" si="1"/>
        <v>608.38989096064688</v>
      </c>
      <c r="E36" s="196">
        <v>0</v>
      </c>
      <c r="F36" s="196">
        <f t="shared" si="2"/>
        <v>4253.0456904814027</v>
      </c>
      <c r="G36" s="292">
        <f t="shared" si="3"/>
        <v>4861.4355814420496</v>
      </c>
      <c r="H36" s="297"/>
      <c r="I36" s="3"/>
      <c r="K36" s="162" t="e">
        <f>Лист2!#REF!</f>
        <v>#REF!</v>
      </c>
    </row>
    <row r="37" spans="1:11" x14ac:dyDescent="0.2">
      <c r="A37" s="1">
        <v>9</v>
      </c>
      <c r="B37" s="215">
        <v>9</v>
      </c>
      <c r="C37" s="212">
        <f t="shared" ca="1" si="0"/>
        <v>46185</v>
      </c>
      <c r="D37" s="208">
        <f t="shared" si="1"/>
        <v>632.72041668331485</v>
      </c>
      <c r="E37" s="196">
        <v>0</v>
      </c>
      <c r="F37" s="196">
        <f t="shared" si="2"/>
        <v>4228.7151647587343</v>
      </c>
      <c r="G37" s="292">
        <f t="shared" si="3"/>
        <v>4861.4355814420487</v>
      </c>
      <c r="H37" s="297"/>
      <c r="I37" s="3"/>
      <c r="K37" s="162" t="e">
        <f>Лист2!#REF!</f>
        <v>#REF!</v>
      </c>
    </row>
    <row r="38" spans="1:11" x14ac:dyDescent="0.2">
      <c r="A38" s="1">
        <v>10</v>
      </c>
      <c r="B38" s="215">
        <v>10</v>
      </c>
      <c r="C38" s="212">
        <f t="shared" ca="1" si="0"/>
        <v>46215</v>
      </c>
      <c r="D38" s="208">
        <f t="shared" si="1"/>
        <v>658.02396068050825</v>
      </c>
      <c r="E38" s="196">
        <v>0</v>
      </c>
      <c r="F38" s="196">
        <f t="shared" si="2"/>
        <v>4203.4116207615407</v>
      </c>
      <c r="G38" s="292">
        <f t="shared" si="3"/>
        <v>4861.4355814420487</v>
      </c>
      <c r="H38" s="297"/>
      <c r="I38" s="3"/>
      <c r="K38" s="162" t="e">
        <f>Лист2!#REF!</f>
        <v>#REF!</v>
      </c>
    </row>
    <row r="39" spans="1:11" x14ac:dyDescent="0.2">
      <c r="A39" s="1">
        <v>22</v>
      </c>
      <c r="B39" s="215">
        <v>11</v>
      </c>
      <c r="C39" s="212">
        <f t="shared" ca="1" si="0"/>
        <v>46246</v>
      </c>
      <c r="D39" s="208">
        <f t="shared" si="1"/>
        <v>684.3394355747231</v>
      </c>
      <c r="E39" s="196">
        <v>0</v>
      </c>
      <c r="F39" s="196">
        <f t="shared" si="2"/>
        <v>4177.0961458673264</v>
      </c>
      <c r="G39" s="292">
        <f t="shared" si="3"/>
        <v>4861.4355814420496</v>
      </c>
      <c r="H39" s="297"/>
      <c r="I39" s="3"/>
      <c r="K39" s="162" t="e">
        <f>Лист2!#REF!</f>
        <v>#REF!</v>
      </c>
    </row>
    <row r="40" spans="1:11" x14ac:dyDescent="0.2">
      <c r="A40" s="1">
        <v>22</v>
      </c>
      <c r="B40" s="215">
        <v>12</v>
      </c>
      <c r="C40" s="212">
        <f t="shared" ca="1" si="0"/>
        <v>46277</v>
      </c>
      <c r="D40" s="208">
        <f t="shared" si="1"/>
        <v>711.70731016908201</v>
      </c>
      <c r="E40" s="196">
        <v>0</v>
      </c>
      <c r="F40" s="196">
        <f t="shared" si="2"/>
        <v>4149.7282712729675</v>
      </c>
      <c r="G40" s="292">
        <f t="shared" si="3"/>
        <v>4861.4355814420496</v>
      </c>
      <c r="H40" s="297"/>
      <c r="I40" s="3"/>
      <c r="K40" s="162" t="e">
        <f>Лист2!#REF!</f>
        <v>#REF!</v>
      </c>
    </row>
    <row r="41" spans="1:11" x14ac:dyDescent="0.2">
      <c r="A41" s="1">
        <v>13</v>
      </c>
      <c r="B41" s="215">
        <v>13</v>
      </c>
      <c r="C41" s="212">
        <f t="shared" ca="1" si="0"/>
        <v>46307</v>
      </c>
      <c r="D41" s="208">
        <f t="shared" si="1"/>
        <v>740.16967168159385</v>
      </c>
      <c r="E41" s="196">
        <v>0</v>
      </c>
      <c r="F41" s="196">
        <f t="shared" si="2"/>
        <v>4121.2659097604555</v>
      </c>
      <c r="G41" s="292">
        <f t="shared" si="3"/>
        <v>4861.4355814420496</v>
      </c>
      <c r="H41" s="297"/>
      <c r="I41" s="3"/>
      <c r="K41" s="162" t="e">
        <f>Лист2!#REF!</f>
        <v>#REF!</v>
      </c>
    </row>
    <row r="42" spans="1:11" x14ac:dyDescent="0.2">
      <c r="A42" s="1">
        <v>14</v>
      </c>
      <c r="B42" s="215">
        <v>14</v>
      </c>
      <c r="C42" s="212">
        <f t="shared" ca="1" si="0"/>
        <v>46338</v>
      </c>
      <c r="D42" s="208">
        <f t="shared" si="1"/>
        <v>769.77029046826033</v>
      </c>
      <c r="E42" s="196">
        <v>0</v>
      </c>
      <c r="F42" s="196">
        <f t="shared" si="2"/>
        <v>4091.6652909737886</v>
      </c>
      <c r="G42" s="292">
        <f t="shared" si="3"/>
        <v>4861.4355814420487</v>
      </c>
      <c r="H42" s="297"/>
      <c r="I42" s="3"/>
      <c r="K42" s="162" t="e">
        <f>Лист2!#REF!</f>
        <v>#REF!</v>
      </c>
    </row>
    <row r="43" spans="1:11" x14ac:dyDescent="0.2">
      <c r="A43" s="1">
        <v>15</v>
      </c>
      <c r="B43" s="215">
        <v>15</v>
      </c>
      <c r="C43" s="212">
        <f t="shared" ca="1" si="0"/>
        <v>46368</v>
      </c>
      <c r="D43" s="208">
        <f t="shared" si="1"/>
        <v>800.55468733457019</v>
      </c>
      <c r="E43" s="196">
        <v>0</v>
      </c>
      <c r="F43" s="196">
        <f t="shared" si="2"/>
        <v>4060.8808941074785</v>
      </c>
      <c r="G43" s="292">
        <f t="shared" si="3"/>
        <v>4861.4355814420487</v>
      </c>
      <c r="H43" s="297"/>
      <c r="I43" s="3"/>
      <c r="K43" s="162" t="e">
        <f>Лист2!#REF!</f>
        <v>#REF!</v>
      </c>
    </row>
    <row r="44" spans="1:11" x14ac:dyDescent="0.2">
      <c r="A44" s="1">
        <v>16</v>
      </c>
      <c r="B44" s="215">
        <v>16</v>
      </c>
      <c r="C44" s="212">
        <f t="shared" ca="1" si="0"/>
        <v>46399</v>
      </c>
      <c r="D44" s="208">
        <f t="shared" si="1"/>
        <v>832.57020353889186</v>
      </c>
      <c r="E44" s="196">
        <v>0</v>
      </c>
      <c r="F44" s="196">
        <f t="shared" si="2"/>
        <v>4028.8653779031574</v>
      </c>
      <c r="G44" s="292">
        <f t="shared" si="3"/>
        <v>4861.4355814420496</v>
      </c>
      <c r="H44" s="297"/>
      <c r="I44" s="3"/>
      <c r="K44" s="162" t="e">
        <f>Лист2!#REF!</f>
        <v>#REF!</v>
      </c>
    </row>
    <row r="45" spans="1:11" x14ac:dyDescent="0.2">
      <c r="A45" s="1">
        <v>22</v>
      </c>
      <c r="B45" s="215">
        <v>17</v>
      </c>
      <c r="C45" s="212">
        <f t="shared" ca="1" si="0"/>
        <v>46430</v>
      </c>
      <c r="D45" s="208">
        <f t="shared" si="1"/>
        <v>865.86607359541813</v>
      </c>
      <c r="E45" s="196">
        <v>0</v>
      </c>
      <c r="F45" s="196">
        <f t="shared" si="2"/>
        <v>3995.569507846631</v>
      </c>
      <c r="G45" s="292">
        <f t="shared" si="3"/>
        <v>4861.4355814420487</v>
      </c>
      <c r="H45" s="297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46458</v>
      </c>
      <c r="D46" s="208">
        <f t="shared" si="1"/>
        <v>900.49350098862135</v>
      </c>
      <c r="E46" s="196">
        <v>0</v>
      </c>
      <c r="F46" s="196">
        <f t="shared" si="2"/>
        <v>3960.9420804534275</v>
      </c>
      <c r="G46" s="292">
        <f t="shared" si="3"/>
        <v>4861.4355814420487</v>
      </c>
      <c r="H46" s="297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46489</v>
      </c>
      <c r="D47" s="208">
        <f t="shared" si="1"/>
        <v>936.50573691565808</v>
      </c>
      <c r="E47" s="196">
        <v>0</v>
      </c>
      <c r="F47" s="196">
        <f t="shared" si="2"/>
        <v>3924.9298445263908</v>
      </c>
      <c r="G47" s="292">
        <f t="shared" si="3"/>
        <v>4861.4355814420487</v>
      </c>
      <c r="H47" s="297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46519</v>
      </c>
      <c r="D48" s="208">
        <f t="shared" si="1"/>
        <v>973.95816217781021</v>
      </c>
      <c r="E48" s="196">
        <v>0</v>
      </c>
      <c r="F48" s="196">
        <f t="shared" si="2"/>
        <v>3887.477419264239</v>
      </c>
      <c r="G48" s="292">
        <f t="shared" si="3"/>
        <v>4861.4355814420487</v>
      </c>
      <c r="H48" s="297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46550</v>
      </c>
      <c r="D49" s="208">
        <f t="shared" si="1"/>
        <v>1012.9083723469045</v>
      </c>
      <c r="E49" s="196">
        <v>0</v>
      </c>
      <c r="F49" s="196">
        <f t="shared" si="2"/>
        <v>3848.5272090951444</v>
      </c>
      <c r="G49" s="292">
        <f t="shared" si="3"/>
        <v>4861.4355814420487</v>
      </c>
      <c r="H49" s="297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46580</v>
      </c>
      <c r="D50" s="208">
        <f t="shared" si="1"/>
        <v>1053.4162663376778</v>
      </c>
      <c r="E50" s="196">
        <v>0</v>
      </c>
      <c r="F50" s="196">
        <f t="shared" si="2"/>
        <v>3808.0193151043709</v>
      </c>
      <c r="G50" s="292">
        <f t="shared" si="3"/>
        <v>4861.4355814420487</v>
      </c>
      <c r="H50" s="297"/>
      <c r="I50" s="3"/>
    </row>
    <row r="51" spans="1:11" x14ac:dyDescent="0.2">
      <c r="A51" s="60">
        <v>25</v>
      </c>
      <c r="B51" s="215">
        <v>23</v>
      </c>
      <c r="C51" s="212">
        <f t="shared" ca="1" si="0"/>
        <v>46611</v>
      </c>
      <c r="D51" s="208">
        <f t="shared" si="1"/>
        <v>1095.5441385222987</v>
      </c>
      <c r="E51" s="196">
        <v>0</v>
      </c>
      <c r="F51" s="196">
        <f t="shared" si="2"/>
        <v>3765.8914429197498</v>
      </c>
      <c r="G51" s="292">
        <f t="shared" si="3"/>
        <v>4861.4355814420487</v>
      </c>
      <c r="H51" s="297"/>
      <c r="I51" s="3"/>
    </row>
    <row r="52" spans="1:11" x14ac:dyDescent="0.2">
      <c r="A52" s="60"/>
      <c r="B52" s="215">
        <v>24</v>
      </c>
      <c r="C52" s="212">
        <f t="shared" ca="1" si="0"/>
        <v>46642</v>
      </c>
      <c r="D52" s="208">
        <f t="shared" si="1"/>
        <v>1139.3567745287028</v>
      </c>
      <c r="E52" s="196">
        <v>0</v>
      </c>
      <c r="F52" s="196">
        <f t="shared" si="2"/>
        <v>3722.0788069133464</v>
      </c>
      <c r="G52" s="292">
        <f t="shared" si="3"/>
        <v>4861.4355814420487</v>
      </c>
      <c r="H52" s="297"/>
      <c r="I52" s="3"/>
    </row>
    <row r="53" spans="1:11" x14ac:dyDescent="0.2">
      <c r="A53" s="60"/>
      <c r="B53" s="215">
        <v>25</v>
      </c>
      <c r="C53" s="212">
        <f t="shared" ca="1" si="0"/>
        <v>46672</v>
      </c>
      <c r="D53" s="208">
        <f t="shared" si="1"/>
        <v>1184.9215508700634</v>
      </c>
      <c r="E53" s="196">
        <v>0</v>
      </c>
      <c r="F53" s="196">
        <f t="shared" si="2"/>
        <v>3676.5140305719856</v>
      </c>
      <c r="G53" s="292">
        <f t="shared" si="3"/>
        <v>4861.4355814420487</v>
      </c>
      <c r="H53" s="297"/>
      <c r="I53" s="3"/>
    </row>
    <row r="54" spans="1:11" x14ac:dyDescent="0.2">
      <c r="A54" s="60"/>
      <c r="B54" s="215">
        <v>26</v>
      </c>
      <c r="C54" s="212">
        <f t="shared" ca="1" si="0"/>
        <v>46703</v>
      </c>
      <c r="D54" s="208">
        <f t="shared" si="1"/>
        <v>1232.3085385586087</v>
      </c>
      <c r="E54" s="196">
        <v>0</v>
      </c>
      <c r="F54" s="196">
        <f t="shared" si="2"/>
        <v>3629.1270428834405</v>
      </c>
      <c r="G54" s="292">
        <f t="shared" si="3"/>
        <v>4861.4355814420487</v>
      </c>
      <c r="H54" s="297"/>
      <c r="I54" s="3"/>
    </row>
    <row r="55" spans="1:11" x14ac:dyDescent="0.2">
      <c r="A55" s="60"/>
      <c r="B55" s="215">
        <v>27</v>
      </c>
      <c r="C55" s="212">
        <f t="shared" ca="1" si="0"/>
        <v>46733</v>
      </c>
      <c r="D55" s="208">
        <f t="shared" si="1"/>
        <v>1281.5906108631316</v>
      </c>
      <c r="E55" s="196">
        <v>0</v>
      </c>
      <c r="F55" s="196">
        <f t="shared" si="2"/>
        <v>3579.8449705789176</v>
      </c>
      <c r="G55" s="292">
        <f t="shared" si="3"/>
        <v>4861.4355814420487</v>
      </c>
      <c r="H55" s="297"/>
      <c r="I55" s="3"/>
    </row>
    <row r="56" spans="1:11" x14ac:dyDescent="0.2">
      <c r="A56" s="60"/>
      <c r="B56" s="215">
        <v>28</v>
      </c>
      <c r="C56" s="212">
        <f t="shared" ca="1" si="0"/>
        <v>46764</v>
      </c>
      <c r="D56" s="208">
        <f t="shared" si="1"/>
        <v>1332.8435553758998</v>
      </c>
      <c r="E56" s="196">
        <v>0</v>
      </c>
      <c r="F56" s="196">
        <f t="shared" si="2"/>
        <v>3528.5920260661492</v>
      </c>
      <c r="G56" s="292">
        <f t="shared" si="3"/>
        <v>4861.4355814420487</v>
      </c>
      <c r="H56" s="297"/>
      <c r="I56" s="3"/>
    </row>
    <row r="57" spans="1:11" x14ac:dyDescent="0.2">
      <c r="A57" s="60"/>
      <c r="B57" s="215">
        <v>29</v>
      </c>
      <c r="C57" s="212">
        <f t="shared" ca="1" si="0"/>
        <v>46795</v>
      </c>
      <c r="D57" s="208">
        <f t="shared" si="1"/>
        <v>1386.1461905613075</v>
      </c>
      <c r="E57" s="196">
        <v>0</v>
      </c>
      <c r="F57" s="196">
        <f t="shared" si="2"/>
        <v>3475.2893908807414</v>
      </c>
      <c r="G57" s="292">
        <f t="shared" si="3"/>
        <v>4861.4355814420487</v>
      </c>
      <c r="H57" s="297"/>
      <c r="I57" s="3"/>
    </row>
    <row r="58" spans="1:11" x14ac:dyDescent="0.2">
      <c r="A58" s="60">
        <v>25</v>
      </c>
      <c r="B58" s="215">
        <v>30</v>
      </c>
      <c r="C58" s="212">
        <f t="shared" ca="1" si="0"/>
        <v>46824</v>
      </c>
      <c r="D58" s="208">
        <f t="shared" si="1"/>
        <v>1441.5804869655053</v>
      </c>
      <c r="E58" s="196">
        <v>0</v>
      </c>
      <c r="F58" s="196">
        <f t="shared" si="2"/>
        <v>3419.8550944765439</v>
      </c>
      <c r="G58" s="292">
        <f t="shared" si="3"/>
        <v>4861.4355814420487</v>
      </c>
      <c r="H58" s="297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46855</v>
      </c>
      <c r="D59" s="208">
        <f t="shared" si="1"/>
        <v>1499.2316932734009</v>
      </c>
      <c r="E59" s="196">
        <v>0</v>
      </c>
      <c r="F59" s="196">
        <f t="shared" si="2"/>
        <v>3362.2038881686481</v>
      </c>
      <c r="G59" s="292">
        <f t="shared" si="3"/>
        <v>4861.4355814420487</v>
      </c>
      <c r="H59" s="297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46885</v>
      </c>
      <c r="D60" s="208">
        <f t="shared" si="1"/>
        <v>1559.1884674068926</v>
      </c>
      <c r="E60" s="196">
        <v>0</v>
      </c>
      <c r="F60" s="196">
        <f t="shared" si="2"/>
        <v>3302.2471140351563</v>
      </c>
      <c r="G60" s="292">
        <f t="shared" si="3"/>
        <v>4861.4355814420487</v>
      </c>
      <c r="H60" s="297"/>
      <c r="I60" s="134"/>
      <c r="J60" s="134"/>
    </row>
    <row r="61" spans="1:11" x14ac:dyDescent="0.2">
      <c r="A61" s="60"/>
      <c r="B61" s="215">
        <v>33</v>
      </c>
      <c r="C61" s="212">
        <f t="shared" ca="1" si="0"/>
        <v>46916</v>
      </c>
      <c r="D61" s="208">
        <f t="shared" si="1"/>
        <v>1621.54301286594</v>
      </c>
      <c r="E61" s="196">
        <v>0</v>
      </c>
      <c r="F61" s="196">
        <f t="shared" si="2"/>
        <v>3239.8925685761087</v>
      </c>
      <c r="G61" s="292">
        <f t="shared" si="3"/>
        <v>4861.4355814420487</v>
      </c>
      <c r="H61" s="297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46946</v>
      </c>
      <c r="D62" s="208">
        <f t="shared" si="1"/>
        <v>1686.391220522137</v>
      </c>
      <c r="E62" s="196">
        <v>0</v>
      </c>
      <c r="F62" s="196">
        <f t="shared" si="2"/>
        <v>3175.0443609199115</v>
      </c>
      <c r="G62" s="292">
        <f t="shared" si="3"/>
        <v>4861.4355814420487</v>
      </c>
      <c r="H62" s="297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46977</v>
      </c>
      <c r="D63" s="208">
        <f t="shared" si="1"/>
        <v>1753.8328160828517</v>
      </c>
      <c r="E63" s="196">
        <v>0</v>
      </c>
      <c r="F63" s="196">
        <f t="shared" si="2"/>
        <v>3107.6027653591968</v>
      </c>
      <c r="G63" s="292">
        <f t="shared" si="3"/>
        <v>4861.4355814420487</v>
      </c>
      <c r="H63" s="297"/>
      <c r="I63" s="134"/>
      <c r="J63" s="134"/>
    </row>
    <row r="64" spans="1:11" x14ac:dyDescent="0.2">
      <c r="A64" s="60"/>
      <c r="B64" s="215">
        <v>36</v>
      </c>
      <c r="C64" s="212">
        <f t="shared" ca="1" si="0"/>
        <v>47008</v>
      </c>
      <c r="D64" s="208">
        <f t="shared" si="1"/>
        <v>1823.9715134526982</v>
      </c>
      <c r="E64" s="196">
        <v>0</v>
      </c>
      <c r="F64" s="196">
        <f t="shared" si="2"/>
        <v>3037.46406798935</v>
      </c>
      <c r="G64" s="292">
        <f t="shared" si="3"/>
        <v>4861.4355814420487</v>
      </c>
      <c r="H64" s="297"/>
      <c r="I64" s="134"/>
      <c r="J64" s="134"/>
    </row>
    <row r="65" spans="1:10" x14ac:dyDescent="0.2">
      <c r="A65" s="60"/>
      <c r="B65" s="215">
        <v>37</v>
      </c>
      <c r="C65" s="212">
        <f t="shared" ca="1" si="0"/>
        <v>47038</v>
      </c>
      <c r="D65" s="208">
        <f t="shared" si="1"/>
        <v>1896.9151742281938</v>
      </c>
      <c r="E65" s="196">
        <v>0</v>
      </c>
      <c r="F65" s="196">
        <f t="shared" si="2"/>
        <v>2964.5204072138554</v>
      </c>
      <c r="G65" s="292">
        <f t="shared" si="3"/>
        <v>4861.4355814420487</v>
      </c>
      <c r="H65" s="297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47069</v>
      </c>
      <c r="D66" s="208">
        <f t="shared" si="1"/>
        <v>1972.7759735708698</v>
      </c>
      <c r="E66" s="196">
        <v>0</v>
      </c>
      <c r="F66" s="196">
        <f t="shared" si="2"/>
        <v>2888.6596078711791</v>
      </c>
      <c r="G66" s="292">
        <f t="shared" si="3"/>
        <v>4861.4355814420487</v>
      </c>
      <c r="H66" s="297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47099</v>
      </c>
      <c r="D67" s="208">
        <f t="shared" si="1"/>
        <v>2051.6705727139251</v>
      </c>
      <c r="E67" s="196">
        <v>0</v>
      </c>
      <c r="F67" s="196">
        <f t="shared" si="2"/>
        <v>2809.7650087281236</v>
      </c>
      <c r="G67" s="292">
        <f t="shared" si="3"/>
        <v>4861.4355814420487</v>
      </c>
      <c r="H67" s="297"/>
      <c r="I67" s="134"/>
      <c r="J67" s="134"/>
    </row>
    <row r="68" spans="1:10" x14ac:dyDescent="0.2">
      <c r="A68" s="60"/>
      <c r="B68" s="215">
        <v>40</v>
      </c>
      <c r="C68" s="212">
        <f t="shared" ca="1" si="0"/>
        <v>47130</v>
      </c>
      <c r="D68" s="208">
        <f t="shared" si="1"/>
        <v>2133.7202983677093</v>
      </c>
      <c r="E68" s="196">
        <v>0</v>
      </c>
      <c r="F68" s="196">
        <f t="shared" si="2"/>
        <v>2727.7152830743394</v>
      </c>
      <c r="G68" s="292">
        <f t="shared" si="3"/>
        <v>4861.4355814420487</v>
      </c>
      <c r="H68" s="297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47161</v>
      </c>
      <c r="D69" s="208">
        <f t="shared" si="1"/>
        <v>2219.0513292999312</v>
      </c>
      <c r="E69" s="196">
        <v>0</v>
      </c>
      <c r="F69" s="196">
        <f t="shared" si="2"/>
        <v>2642.3842521421175</v>
      </c>
      <c r="G69" s="292">
        <f t="shared" si="3"/>
        <v>4861.4355814420487</v>
      </c>
      <c r="H69" s="297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47189</v>
      </c>
      <c r="D70" s="208">
        <f t="shared" si="1"/>
        <v>2307.7948903775177</v>
      </c>
      <c r="E70" s="196">
        <v>0</v>
      </c>
      <c r="F70" s="196">
        <f t="shared" si="2"/>
        <v>2553.640691064531</v>
      </c>
      <c r="G70" s="292">
        <f t="shared" si="3"/>
        <v>4861.4355814420487</v>
      </c>
      <c r="H70" s="297"/>
      <c r="I70" s="134"/>
      <c r="J70" s="134"/>
    </row>
    <row r="71" spans="1:10" x14ac:dyDescent="0.2">
      <c r="A71" s="60"/>
      <c r="B71" s="215">
        <v>43</v>
      </c>
      <c r="C71" s="212">
        <f t="shared" ca="1" si="0"/>
        <v>47220</v>
      </c>
      <c r="D71" s="208">
        <f t="shared" si="1"/>
        <v>2400.0874543685318</v>
      </c>
      <c r="E71" s="196">
        <v>0</v>
      </c>
      <c r="F71" s="196">
        <f t="shared" si="2"/>
        <v>2461.3481270735169</v>
      </c>
      <c r="G71" s="292">
        <f t="shared" si="3"/>
        <v>4861.4355814420487</v>
      </c>
      <c r="H71" s="297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47250</v>
      </c>
      <c r="D72" s="208">
        <f t="shared" si="1"/>
        <v>2496.0709518144863</v>
      </c>
      <c r="E72" s="196">
        <v>0</v>
      </c>
      <c r="F72" s="196">
        <f t="shared" si="2"/>
        <v>2365.364629627562</v>
      </c>
      <c r="G72" s="292">
        <f t="shared" si="3"/>
        <v>4861.4355814420487</v>
      </c>
      <c r="H72" s="297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47281</v>
      </c>
      <c r="D73" s="208">
        <f t="shared" si="1"/>
        <v>2595.8929892958013</v>
      </c>
      <c r="E73" s="196">
        <v>0</v>
      </c>
      <c r="F73" s="196">
        <f t="shared" si="2"/>
        <v>2265.5425921462479</v>
      </c>
      <c r="G73" s="292">
        <f t="shared" si="3"/>
        <v>4861.4355814420487</v>
      </c>
      <c r="H73" s="297"/>
      <c r="I73" s="134"/>
      <c r="J73" s="134"/>
    </row>
    <row r="74" spans="1:10" x14ac:dyDescent="0.2">
      <c r="A74" s="60"/>
      <c r="B74" s="215">
        <v>46</v>
      </c>
      <c r="C74" s="212">
        <f t="shared" ca="1" si="0"/>
        <v>47311</v>
      </c>
      <c r="D74" s="208">
        <f t="shared" si="1"/>
        <v>2699.7070764260557</v>
      </c>
      <c r="E74" s="196">
        <v>0</v>
      </c>
      <c r="F74" s="196">
        <f t="shared" si="2"/>
        <v>2161.7285050159931</v>
      </c>
      <c r="G74" s="292">
        <f t="shared" si="3"/>
        <v>4861.4355814420487</v>
      </c>
      <c r="H74" s="297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47342</v>
      </c>
      <c r="D75" s="208">
        <f t="shared" si="1"/>
        <v>2807.672861924128</v>
      </c>
      <c r="E75" s="196">
        <v>0</v>
      </c>
      <c r="F75" s="196">
        <f t="shared" si="2"/>
        <v>2053.7627195179207</v>
      </c>
      <c r="G75" s="292">
        <f t="shared" si="3"/>
        <v>4861.4355814420487</v>
      </c>
      <c r="H75" s="297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47373</v>
      </c>
      <c r="D76" s="208">
        <f t="shared" si="1"/>
        <v>2919.9563791272431</v>
      </c>
      <c r="E76" s="196">
        <v>0</v>
      </c>
      <c r="F76" s="196">
        <f t="shared" si="2"/>
        <v>1941.4792023148052</v>
      </c>
      <c r="G76" s="292">
        <f t="shared" si="3"/>
        <v>4861.4355814420487</v>
      </c>
      <c r="H76" s="297"/>
      <c r="I76" s="134"/>
      <c r="J76" s="134"/>
    </row>
    <row r="77" spans="1:10" x14ac:dyDescent="0.2">
      <c r="A77" s="60"/>
      <c r="B77" s="215">
        <v>49</v>
      </c>
      <c r="C77" s="212">
        <f t="shared" ca="1" si="0"/>
        <v>47403</v>
      </c>
      <c r="D77" s="208">
        <f t="shared" si="1"/>
        <v>3036.7303013225064</v>
      </c>
      <c r="E77" s="196">
        <v>0</v>
      </c>
      <c r="F77" s="196">
        <f t="shared" si="2"/>
        <v>1824.7052801195412</v>
      </c>
      <c r="G77" s="292">
        <f t="shared" si="3"/>
        <v>4861.4355814420478</v>
      </c>
      <c r="H77" s="297"/>
      <c r="I77" s="134"/>
      <c r="J77" s="134"/>
    </row>
    <row r="78" spans="1:10" x14ac:dyDescent="0.2">
      <c r="A78" s="60"/>
      <c r="B78" s="215">
        <v>50</v>
      </c>
      <c r="C78" s="212">
        <f t="shared" ca="1" si="0"/>
        <v>47434</v>
      </c>
      <c r="D78" s="208">
        <f t="shared" si="1"/>
        <v>3158.1742072895631</v>
      </c>
      <c r="E78" s="196">
        <v>0</v>
      </c>
      <c r="F78" s="196">
        <f t="shared" si="2"/>
        <v>1703.2613741524854</v>
      </c>
      <c r="G78" s="292">
        <f t="shared" si="3"/>
        <v>4861.4355814420487</v>
      </c>
      <c r="H78" s="297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47464</v>
      </c>
      <c r="D79" s="208">
        <f t="shared" si="1"/>
        <v>3284.474857462752</v>
      </c>
      <c r="E79" s="196">
        <v>0</v>
      </c>
      <c r="F79" s="196">
        <f t="shared" si="2"/>
        <v>1576.960723979297</v>
      </c>
      <c r="G79" s="292">
        <f t="shared" si="3"/>
        <v>4861.4355814420487</v>
      </c>
      <c r="H79" s="297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47495</v>
      </c>
      <c r="D80" s="208">
        <f t="shared" si="1"/>
        <v>3415.8264811374493</v>
      </c>
      <c r="E80" s="196">
        <v>0</v>
      </c>
      <c r="F80" s="196">
        <f t="shared" si="2"/>
        <v>1445.6091003045992</v>
      </c>
      <c r="G80" s="292">
        <f t="shared" si="3"/>
        <v>4861.4355814420487</v>
      </c>
      <c r="H80" s="297"/>
      <c r="I80" s="134"/>
      <c r="J80" s="134"/>
    </row>
    <row r="81" spans="1:10" x14ac:dyDescent="0.2">
      <c r="A81" s="60"/>
      <c r="B81" s="215">
        <v>53</v>
      </c>
      <c r="C81" s="212">
        <f t="shared" ca="1" si="0"/>
        <v>47526</v>
      </c>
      <c r="D81" s="208">
        <f t="shared" si="1"/>
        <v>3552.4310751622716</v>
      </c>
      <c r="E81" s="196">
        <v>0</v>
      </c>
      <c r="F81" s="196">
        <f t="shared" si="2"/>
        <v>1309.0045062797774</v>
      </c>
      <c r="G81" s="292">
        <f t="shared" si="3"/>
        <v>4861.4355814420487</v>
      </c>
      <c r="H81" s="297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47554</v>
      </c>
      <c r="D82" s="208">
        <f t="shared" si="1"/>
        <v>3694.4987145764685</v>
      </c>
      <c r="E82" s="196">
        <v>0</v>
      </c>
      <c r="F82" s="196">
        <f t="shared" si="2"/>
        <v>1166.9368668655795</v>
      </c>
      <c r="G82" s="292">
        <f t="shared" si="3"/>
        <v>4861.4355814420478</v>
      </c>
      <c r="H82" s="297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47585</v>
      </c>
      <c r="D83" s="208">
        <f t="shared" si="1"/>
        <v>3842.2478756702394</v>
      </c>
      <c r="E83" s="196">
        <v>0</v>
      </c>
      <c r="F83" s="196">
        <f t="shared" si="2"/>
        <v>1019.187705771809</v>
      </c>
      <c r="G83" s="292">
        <f t="shared" si="3"/>
        <v>4861.4355814420487</v>
      </c>
      <c r="H83" s="297"/>
      <c r="I83" s="134"/>
      <c r="J83" s="134"/>
    </row>
    <row r="84" spans="1:10" x14ac:dyDescent="0.2">
      <c r="A84" s="60"/>
      <c r="B84" s="215">
        <v>56</v>
      </c>
      <c r="C84" s="212">
        <f t="shared" ca="1" si="0"/>
        <v>47615</v>
      </c>
      <c r="D84" s="208">
        <f t="shared" si="1"/>
        <v>3995.9057719647517</v>
      </c>
      <c r="E84" s="196">
        <v>0</v>
      </c>
      <c r="F84" s="196">
        <f t="shared" si="2"/>
        <v>865.52980947729645</v>
      </c>
      <c r="G84" s="292">
        <f t="shared" si="3"/>
        <v>4861.4355814420478</v>
      </c>
      <c r="H84" s="297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47646</v>
      </c>
      <c r="D85" s="208">
        <f t="shared" si="1"/>
        <v>4155.7087036285757</v>
      </c>
      <c r="E85" s="196">
        <v>0</v>
      </c>
      <c r="F85" s="196">
        <f t="shared" si="2"/>
        <v>705.72687781347281</v>
      </c>
      <c r="G85" s="292">
        <f t="shared" si="3"/>
        <v>4861.4355814420487</v>
      </c>
      <c r="H85" s="297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47676</v>
      </c>
      <c r="D86" s="208">
        <f t="shared" si="1"/>
        <v>4321.9024208678547</v>
      </c>
      <c r="E86" s="196">
        <v>0</v>
      </c>
      <c r="F86" s="196">
        <f t="shared" si="2"/>
        <v>539.5331605741934</v>
      </c>
      <c r="G86" s="292">
        <f t="shared" si="3"/>
        <v>4861.4355814420478</v>
      </c>
      <c r="H86" s="297"/>
      <c r="I86" s="134"/>
      <c r="J86" s="134"/>
    </row>
    <row r="87" spans="1:10" x14ac:dyDescent="0.2">
      <c r="A87" s="60"/>
      <c r="B87" s="215">
        <v>59</v>
      </c>
      <c r="C87" s="212">
        <f t="shared" ca="1" si="0"/>
        <v>47707</v>
      </c>
      <c r="D87" s="208">
        <f t="shared" si="1"/>
        <v>4494.7425018490621</v>
      </c>
      <c r="E87" s="196">
        <v>0</v>
      </c>
      <c r="F87" s="196">
        <f t="shared" si="2"/>
        <v>366.69307959298641</v>
      </c>
      <c r="G87" s="292">
        <f t="shared" si="3"/>
        <v>4861.4355814420487</v>
      </c>
      <c r="H87" s="297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47738</v>
      </c>
      <c r="D88" s="209">
        <f t="shared" si="1"/>
        <v>4674.4947457355092</v>
      </c>
      <c r="E88" s="210">
        <v>0</v>
      </c>
      <c r="F88" s="210">
        <f t="shared" si="2"/>
        <v>186.94083570653927</v>
      </c>
      <c r="G88" s="300">
        <f t="shared" si="3"/>
        <v>4861.4355814420487</v>
      </c>
      <c r="H88" s="301"/>
      <c r="I88" s="134"/>
      <c r="J88" s="134"/>
    </row>
    <row r="89" spans="1:10" ht="16.5" thickBot="1" x14ac:dyDescent="0.25">
      <c r="A89" s="60"/>
      <c r="B89" s="275" t="s">
        <v>3</v>
      </c>
      <c r="C89" s="293"/>
      <c r="D89" s="206">
        <f>SUM(D29:D88)</f>
        <v>110000.00000000003</v>
      </c>
      <c r="E89" s="206">
        <f>SUM(E29:E88)</f>
        <v>0</v>
      </c>
      <c r="F89" s="206">
        <f>SUM(F29:F88)</f>
        <v>181686.13488652292</v>
      </c>
      <c r="G89" s="298">
        <f>SUM(G29:H88)</f>
        <v>291686.13488652307</v>
      </c>
      <c r="H89" s="29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gZcJRSbikR+sPyxAYfKltOY66CSI2+vi2UGbuWtQXjG23lSqJb1lsheoW1JMA/HA4SA48G9mh/E2IR4RWp2kuA==" saltValue="7827PEdKGA/Sch8hPPAhaA==" spinCount="100000" sheet="1" objects="1" scenarios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600-000000000000}">
      <formula1>$K$9:$K$12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">
      <c r="A2" s="2"/>
      <c r="B2" s="61"/>
      <c r="C2" s="61"/>
      <c r="D2" s="61"/>
      <c r="E2" s="139" t="e">
        <f>VLOOKUP('Від 200 000 до 500 000'!H2,Лист2!A:N,14,FALSE)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49" t="s">
        <v>70</v>
      </c>
      <c r="I2" s="25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</row>
    <row r="4" spans="1:29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25">
      <c r="A5" s="1"/>
      <c r="B5" s="283" t="s">
        <v>82</v>
      </c>
      <c r="C5" s="284"/>
      <c r="D5" s="284"/>
      <c r="E5" s="285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8" t="s">
        <v>81</v>
      </c>
      <c r="C7" s="259"/>
      <c r="D7" s="259"/>
      <c r="E7" s="26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286"/>
      <c r="H11" s="286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 t="e">
        <f>VLOOKUP(H$2,Лист2!$A:$G,3,0)</f>
        <v>#N/A</v>
      </c>
      <c r="G15" s="286"/>
      <c r="H15" s="286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 t="e">
        <f>PMT(F9/12,F15,-E17)+F13*E17</f>
        <v>#N/A</v>
      </c>
      <c r="G18" s="289"/>
      <c r="H18" s="290"/>
      <c r="I18" s="133"/>
      <c r="J18" s="52"/>
      <c r="K18" s="162" t="str">
        <f>Лист2!A5</f>
        <v>Стабільний СК,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Стабільний СК,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 t="e">
        <f>G89-E3</f>
        <v>#N/A</v>
      </c>
      <c r="G20" s="291"/>
      <c r="H20" s="291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>Стабільний СК, 12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 t="e">
        <f>E3+F20</f>
        <v>#N/A</v>
      </c>
      <c r="G22" s="286"/>
      <c r="H22" s="28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45912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45942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92" t="e">
        <f>SUM(D29:F29)</f>
        <v>#N/A</v>
      </c>
      <c r="H29" s="292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45973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92" t="e">
        <f t="shared" ref="G30:G88" si="1">SUM(D30:F30)</f>
        <v>#N/A</v>
      </c>
      <c r="H30" s="292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46003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92" t="e">
        <f t="shared" si="1"/>
        <v>#N/A</v>
      </c>
      <c r="H31" s="292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46034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92" t="e">
        <f t="shared" si="1"/>
        <v>#N/A</v>
      </c>
      <c r="H32" s="292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46065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92" t="e">
        <f t="shared" si="1"/>
        <v>#N/A</v>
      </c>
      <c r="H33" s="292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46093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92" t="e">
        <f t="shared" si="1"/>
        <v>#N/A</v>
      </c>
      <c r="H34" s="292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46124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92" t="e">
        <f t="shared" si="1"/>
        <v>#N/A</v>
      </c>
      <c r="H35" s="292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46154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92" t="e">
        <f t="shared" si="1"/>
        <v>#N/A</v>
      </c>
      <c r="H36" s="292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46185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92" t="e">
        <f t="shared" si="1"/>
        <v>#N/A</v>
      </c>
      <c r="H37" s="292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46215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92" t="e">
        <f t="shared" si="1"/>
        <v>#N/A</v>
      </c>
      <c r="H38" s="292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46246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92" t="e">
        <f t="shared" si="1"/>
        <v>#N/A</v>
      </c>
      <c r="H39" s="292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46277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92" t="e">
        <f t="shared" si="1"/>
        <v>#N/A</v>
      </c>
      <c r="H40" s="292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46307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92" t="e">
        <f t="shared" si="1"/>
        <v>#N/A</v>
      </c>
      <c r="H41" s="292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46338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92" t="e">
        <f t="shared" si="1"/>
        <v>#N/A</v>
      </c>
      <c r="H42" s="292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46368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92" t="e">
        <f t="shared" si="1"/>
        <v>#N/A</v>
      </c>
      <c r="H43" s="292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46399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92" t="e">
        <f t="shared" si="1"/>
        <v>#N/A</v>
      </c>
      <c r="H44" s="292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46430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92" t="e">
        <f t="shared" si="1"/>
        <v>#N/A</v>
      </c>
      <c r="H45" s="292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46458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92" t="e">
        <f t="shared" si="1"/>
        <v>#N/A</v>
      </c>
      <c r="H46" s="292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46489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92" t="e">
        <f t="shared" si="1"/>
        <v>#N/A</v>
      </c>
      <c r="H47" s="292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46519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92" t="e">
        <f t="shared" si="1"/>
        <v>#N/A</v>
      </c>
      <c r="H48" s="292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46550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92" t="e">
        <f t="shared" si="1"/>
        <v>#N/A</v>
      </c>
      <c r="H49" s="292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46580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92" t="e">
        <f t="shared" si="1"/>
        <v>#N/A</v>
      </c>
      <c r="H50" s="292"/>
      <c r="I50" s="3"/>
    </row>
    <row r="51" spans="1:11" x14ac:dyDescent="0.2">
      <c r="A51" s="60">
        <v>25</v>
      </c>
      <c r="B51" s="128">
        <v>23</v>
      </c>
      <c r="C51" s="132">
        <f t="shared" ca="1" si="0"/>
        <v>46611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92" t="e">
        <f t="shared" si="1"/>
        <v>#N/A</v>
      </c>
      <c r="H51" s="292"/>
      <c r="I51" s="3"/>
    </row>
    <row r="52" spans="1:11" x14ac:dyDescent="0.2">
      <c r="A52" s="60"/>
      <c r="B52" s="128">
        <v>24</v>
      </c>
      <c r="C52" s="132">
        <f t="shared" ca="1" si="0"/>
        <v>46642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92" t="e">
        <f t="shared" si="1"/>
        <v>#N/A</v>
      </c>
      <c r="H52" s="292"/>
      <c r="I52" s="3"/>
    </row>
    <row r="53" spans="1:11" x14ac:dyDescent="0.2">
      <c r="A53" s="60"/>
      <c r="B53" s="128">
        <v>25</v>
      </c>
      <c r="C53" s="132">
        <f t="shared" ca="1" si="0"/>
        <v>46672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92" t="e">
        <f t="shared" si="1"/>
        <v>#N/A</v>
      </c>
      <c r="H53" s="292"/>
      <c r="I53" s="3"/>
    </row>
    <row r="54" spans="1:11" x14ac:dyDescent="0.2">
      <c r="A54" s="60"/>
      <c r="B54" s="128">
        <v>26</v>
      </c>
      <c r="C54" s="132">
        <f t="shared" ca="1" si="0"/>
        <v>46703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92" t="e">
        <f t="shared" si="1"/>
        <v>#N/A</v>
      </c>
      <c r="H54" s="292"/>
      <c r="I54" s="3"/>
    </row>
    <row r="55" spans="1:11" x14ac:dyDescent="0.2">
      <c r="A55" s="60"/>
      <c r="B55" s="128">
        <v>27</v>
      </c>
      <c r="C55" s="132">
        <f t="shared" ca="1" si="0"/>
        <v>46733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92" t="e">
        <f t="shared" si="1"/>
        <v>#N/A</v>
      </c>
      <c r="H55" s="292"/>
      <c r="I55" s="3"/>
    </row>
    <row r="56" spans="1:11" x14ac:dyDescent="0.2">
      <c r="A56" s="60"/>
      <c r="B56" s="128">
        <v>28</v>
      </c>
      <c r="C56" s="132">
        <f t="shared" ca="1" si="0"/>
        <v>46764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92" t="e">
        <f t="shared" si="1"/>
        <v>#N/A</v>
      </c>
      <c r="H56" s="292"/>
      <c r="I56" s="3"/>
    </row>
    <row r="57" spans="1:11" x14ac:dyDescent="0.2">
      <c r="A57" s="60"/>
      <c r="B57" s="128">
        <v>29</v>
      </c>
      <c r="C57" s="132">
        <f t="shared" ca="1" si="0"/>
        <v>46795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92" t="e">
        <f t="shared" si="1"/>
        <v>#N/A</v>
      </c>
      <c r="H57" s="292"/>
      <c r="I57" s="3"/>
    </row>
    <row r="58" spans="1:11" x14ac:dyDescent="0.2">
      <c r="A58" s="60">
        <v>25</v>
      </c>
      <c r="B58" s="128">
        <v>30</v>
      </c>
      <c r="C58" s="132">
        <f t="shared" ca="1" si="0"/>
        <v>46824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92" t="e">
        <f t="shared" si="1"/>
        <v>#N/A</v>
      </c>
      <c r="H58" s="292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46855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92" t="e">
        <f t="shared" si="1"/>
        <v>#N/A</v>
      </c>
      <c r="H59" s="292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46885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92" t="e">
        <f t="shared" si="1"/>
        <v>#N/A</v>
      </c>
      <c r="H60" s="292"/>
      <c r="I60" s="134"/>
      <c r="J60" s="134"/>
    </row>
    <row r="61" spans="1:11" x14ac:dyDescent="0.2">
      <c r="A61" s="60"/>
      <c r="B61" s="128">
        <v>33</v>
      </c>
      <c r="C61" s="132">
        <f t="shared" ca="1" si="0"/>
        <v>46916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92" t="e">
        <f t="shared" si="1"/>
        <v>#N/A</v>
      </c>
      <c r="H61" s="292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46946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92" t="e">
        <f t="shared" si="1"/>
        <v>#N/A</v>
      </c>
      <c r="H62" s="292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46977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92" t="e">
        <f t="shared" si="1"/>
        <v>#N/A</v>
      </c>
      <c r="H63" s="292"/>
      <c r="I63" s="134"/>
      <c r="J63" s="134"/>
    </row>
    <row r="64" spans="1:11" x14ac:dyDescent="0.2">
      <c r="A64" s="60"/>
      <c r="B64" s="128">
        <v>36</v>
      </c>
      <c r="C64" s="132">
        <f t="shared" ca="1" si="0"/>
        <v>47008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92" t="e">
        <f t="shared" si="1"/>
        <v>#N/A</v>
      </c>
      <c r="H64" s="292"/>
      <c r="I64" s="134"/>
      <c r="J64" s="134"/>
    </row>
    <row r="65" spans="1:10" x14ac:dyDescent="0.2">
      <c r="A65" s="60"/>
      <c r="B65" s="128">
        <v>37</v>
      </c>
      <c r="C65" s="132">
        <f t="shared" ca="1" si="0"/>
        <v>47038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92" t="e">
        <f t="shared" si="1"/>
        <v>#N/A</v>
      </c>
      <c r="H65" s="292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47069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92" t="e">
        <f t="shared" si="1"/>
        <v>#N/A</v>
      </c>
      <c r="H66" s="292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47099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92" t="e">
        <f t="shared" si="1"/>
        <v>#N/A</v>
      </c>
      <c r="H67" s="292"/>
      <c r="I67" s="134"/>
      <c r="J67" s="134"/>
    </row>
    <row r="68" spans="1:10" x14ac:dyDescent="0.2">
      <c r="A68" s="60"/>
      <c r="B68" s="128">
        <v>40</v>
      </c>
      <c r="C68" s="132">
        <f t="shared" ca="1" si="0"/>
        <v>47130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92" t="e">
        <f t="shared" si="1"/>
        <v>#N/A</v>
      </c>
      <c r="H68" s="292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47161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92" t="e">
        <f t="shared" si="1"/>
        <v>#N/A</v>
      </c>
      <c r="H69" s="292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47189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92" t="e">
        <f t="shared" si="1"/>
        <v>#N/A</v>
      </c>
      <c r="H70" s="292"/>
      <c r="I70" s="134"/>
      <c r="J70" s="134"/>
    </row>
    <row r="71" spans="1:10" x14ac:dyDescent="0.2">
      <c r="A71" s="60"/>
      <c r="B71" s="128">
        <v>43</v>
      </c>
      <c r="C71" s="132">
        <f t="shared" ca="1" si="0"/>
        <v>47220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92" t="e">
        <f t="shared" si="1"/>
        <v>#N/A</v>
      </c>
      <c r="H71" s="292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47250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92" t="e">
        <f t="shared" si="1"/>
        <v>#N/A</v>
      </c>
      <c r="H72" s="292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47281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92" t="e">
        <f t="shared" si="1"/>
        <v>#N/A</v>
      </c>
      <c r="H73" s="292"/>
      <c r="I73" s="134"/>
      <c r="J73" s="134"/>
    </row>
    <row r="74" spans="1:10" x14ac:dyDescent="0.2">
      <c r="A74" s="60"/>
      <c r="B74" s="128">
        <v>46</v>
      </c>
      <c r="C74" s="132">
        <f t="shared" ca="1" si="0"/>
        <v>47311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92" t="e">
        <f t="shared" si="1"/>
        <v>#N/A</v>
      </c>
      <c r="H74" s="292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47342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92" t="e">
        <f t="shared" si="1"/>
        <v>#N/A</v>
      </c>
      <c r="H75" s="292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47373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92" t="e">
        <f t="shared" si="1"/>
        <v>#N/A</v>
      </c>
      <c r="H76" s="292"/>
      <c r="I76" s="134"/>
      <c r="J76" s="134"/>
    </row>
    <row r="77" spans="1:10" x14ac:dyDescent="0.2">
      <c r="A77" s="60"/>
      <c r="B77" s="128">
        <v>49</v>
      </c>
      <c r="C77" s="132">
        <f t="shared" ca="1" si="0"/>
        <v>47403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92" t="e">
        <f t="shared" si="1"/>
        <v>#N/A</v>
      </c>
      <c r="H77" s="292"/>
      <c r="I77" s="134"/>
      <c r="J77" s="134"/>
    </row>
    <row r="78" spans="1:10" x14ac:dyDescent="0.2">
      <c r="A78" s="60"/>
      <c r="B78" s="128">
        <v>50</v>
      </c>
      <c r="C78" s="132">
        <f t="shared" ca="1" si="0"/>
        <v>47434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92" t="e">
        <f t="shared" si="1"/>
        <v>#N/A</v>
      </c>
      <c r="H78" s="292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47464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92" t="e">
        <f t="shared" si="1"/>
        <v>#N/A</v>
      </c>
      <c r="H79" s="292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47495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92" t="e">
        <f t="shared" si="1"/>
        <v>#N/A</v>
      </c>
      <c r="H80" s="292"/>
      <c r="I80" s="134"/>
      <c r="J80" s="134"/>
    </row>
    <row r="81" spans="1:10" x14ac:dyDescent="0.2">
      <c r="A81" s="60"/>
      <c r="B81" s="128">
        <v>53</v>
      </c>
      <c r="C81" s="132">
        <f t="shared" ca="1" si="0"/>
        <v>47526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92" t="e">
        <f t="shared" si="1"/>
        <v>#N/A</v>
      </c>
      <c r="H81" s="292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47554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92" t="e">
        <f t="shared" si="1"/>
        <v>#N/A</v>
      </c>
      <c r="H82" s="292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47585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92" t="e">
        <f t="shared" si="1"/>
        <v>#N/A</v>
      </c>
      <c r="H83" s="292"/>
      <c r="I83" s="134"/>
      <c r="J83" s="134"/>
    </row>
    <row r="84" spans="1:10" x14ac:dyDescent="0.2">
      <c r="A84" s="60"/>
      <c r="B84" s="128">
        <v>56</v>
      </c>
      <c r="C84" s="132">
        <f t="shared" ca="1" si="0"/>
        <v>47615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92" t="e">
        <f t="shared" si="1"/>
        <v>#N/A</v>
      </c>
      <c r="H84" s="292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47646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92" t="e">
        <f t="shared" si="1"/>
        <v>#N/A</v>
      </c>
      <c r="H85" s="292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47676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92" t="e">
        <f t="shared" si="1"/>
        <v>#N/A</v>
      </c>
      <c r="H86" s="292"/>
      <c r="I86" s="134"/>
      <c r="J86" s="134"/>
    </row>
    <row r="87" spans="1:10" x14ac:dyDescent="0.2">
      <c r="A87" s="60"/>
      <c r="B87" s="128">
        <v>59</v>
      </c>
      <c r="C87" s="132">
        <f t="shared" ca="1" si="0"/>
        <v>47707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92" t="e">
        <f t="shared" si="1"/>
        <v>#N/A</v>
      </c>
      <c r="H87" s="292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47738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96" t="e">
        <f t="shared" si="1"/>
        <v>#N/A</v>
      </c>
      <c r="H88" s="296"/>
      <c r="I88" s="134"/>
      <c r="J88" s="134"/>
    </row>
    <row r="89" spans="1:10" ht="16.5" thickBot="1" x14ac:dyDescent="0.25">
      <c r="A89" s="60"/>
      <c r="B89" s="275" t="s">
        <v>3</v>
      </c>
      <c r="C89" s="29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94" t="e">
        <f>SUM(G29:H88)</f>
        <v>#N/A</v>
      </c>
      <c r="H89" s="295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7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N7"/>
  <sheetViews>
    <sheetView zoomScale="85" zoomScaleNormal="85" workbookViewId="0">
      <selection activeCell="N4" sqref="N4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4" width="9.140625" style="141"/>
    <col min="5" max="5" width="17.28515625" style="141" customWidth="1"/>
    <col min="6" max="6" width="16.85546875" style="141" customWidth="1"/>
    <col min="7" max="7" width="18.7109375" style="141" customWidth="1"/>
    <col min="8" max="10" width="9.140625" style="141" customWidth="1"/>
    <col min="11" max="13" width="17.42578125" style="141" customWidth="1"/>
    <col min="14" max="16384" width="9.140625" style="141"/>
  </cols>
  <sheetData>
    <row r="1" spans="1:14" x14ac:dyDescent="0.2">
      <c r="B1" s="141" t="s">
        <v>25</v>
      </c>
      <c r="C1" s="141" t="s">
        <v>26</v>
      </c>
      <c r="D1" s="141" t="s">
        <v>27</v>
      </c>
      <c r="E1" s="141" t="s">
        <v>28</v>
      </c>
      <c r="F1" s="141" t="s">
        <v>29</v>
      </c>
      <c r="J1" s="141" t="s">
        <v>20</v>
      </c>
      <c r="K1" s="141" t="s">
        <v>2</v>
      </c>
      <c r="L1" s="141" t="s">
        <v>38</v>
      </c>
      <c r="M1" s="141" t="s">
        <v>39</v>
      </c>
    </row>
    <row r="2" spans="1:14" x14ac:dyDescent="0.2">
      <c r="D2" s="144"/>
      <c r="E2" s="144"/>
      <c r="F2" s="144"/>
      <c r="H2" s="141" t="s">
        <v>31</v>
      </c>
      <c r="I2" s="141" t="s">
        <v>30</v>
      </c>
      <c r="K2" s="145"/>
      <c r="L2" s="145"/>
      <c r="M2" s="145"/>
    </row>
    <row r="3" spans="1:14" x14ac:dyDescent="0.2">
      <c r="A3" s="141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41">
        <v>8</v>
      </c>
      <c r="I3" s="141">
        <v>9</v>
      </c>
      <c r="J3" s="141">
        <v>10</v>
      </c>
      <c r="K3" s="141">
        <v>11</v>
      </c>
      <c r="L3" s="141">
        <v>12</v>
      </c>
      <c r="M3" s="141">
        <v>13</v>
      </c>
      <c r="N3" s="141">
        <v>14</v>
      </c>
    </row>
    <row r="4" spans="1:14" x14ac:dyDescent="0.2">
      <c r="A4" s="226" t="s">
        <v>95</v>
      </c>
      <c r="B4" s="226">
        <v>454545.45</v>
      </c>
      <c r="C4" s="226">
        <v>60</v>
      </c>
      <c r="D4" s="227">
        <v>0.47989999999999999</v>
      </c>
      <c r="E4" s="227">
        <v>0.1</v>
      </c>
      <c r="F4" s="227">
        <v>0</v>
      </c>
      <c r="G4" s="226" t="str">
        <f t="shared" ref="G4" si="0">I$2&amp;" "&amp;B4&amp;" "&amp;H$2</f>
        <v>max. 454545,45 грн.</v>
      </c>
      <c r="H4" s="226">
        <f t="shared" ref="H4" si="1">B4+B4*E4</f>
        <v>499999.995</v>
      </c>
      <c r="I4" s="226"/>
      <c r="J4" s="226">
        <v>4</v>
      </c>
      <c r="K4" s="228">
        <f t="shared" ref="K4" si="2">D4/12/(1-1/POWER(1+D4/12,C4))*H4+H4*F4</f>
        <v>22097.43424012588</v>
      </c>
      <c r="L4" s="229">
        <v>0</v>
      </c>
      <c r="M4" s="230">
        <v>0</v>
      </c>
      <c r="N4" s="226">
        <v>9090.9089999999997</v>
      </c>
    </row>
    <row r="5" spans="1:14" x14ac:dyDescent="0.2">
      <c r="A5" s="226" t="s">
        <v>96</v>
      </c>
      <c r="B5" s="226">
        <v>454545.45</v>
      </c>
      <c r="C5" s="226">
        <v>36</v>
      </c>
      <c r="D5" s="227">
        <v>0.47989999999999999</v>
      </c>
      <c r="E5" s="227">
        <v>0.1</v>
      </c>
      <c r="F5" s="227">
        <v>0</v>
      </c>
      <c r="G5" s="226" t="str">
        <f t="shared" ref="G5:G7" si="3">I$2&amp;" "&amp;B5&amp;" "&amp;H$2</f>
        <v>max. 454545,45 грн.</v>
      </c>
      <c r="H5" s="226">
        <f t="shared" ref="H5:H7" si="4">B5+B5*E5</f>
        <v>499999.995</v>
      </c>
      <c r="I5" s="226"/>
      <c r="J5" s="226">
        <v>4</v>
      </c>
      <c r="K5" s="228">
        <f t="shared" ref="K5:K7" si="5">D5/12/(1-1/POWER(1+D5/12,C5))*H5+H5*F5</f>
        <v>26440.38724368572</v>
      </c>
      <c r="L5" s="229">
        <v>0</v>
      </c>
      <c r="M5" s="230">
        <v>0</v>
      </c>
      <c r="N5" s="226">
        <v>9090.9089999999997</v>
      </c>
    </row>
    <row r="6" spans="1:14" x14ac:dyDescent="0.2">
      <c r="A6" s="226" t="s">
        <v>97</v>
      </c>
      <c r="B6" s="226">
        <v>454545.45</v>
      </c>
      <c r="C6" s="226">
        <v>24</v>
      </c>
      <c r="D6" s="227">
        <v>0.47989999999999999</v>
      </c>
      <c r="E6" s="227">
        <v>0.1</v>
      </c>
      <c r="F6" s="227">
        <v>0</v>
      </c>
      <c r="G6" s="226" t="str">
        <f t="shared" si="3"/>
        <v>max. 454545,45 грн.</v>
      </c>
      <c r="H6" s="226">
        <f t="shared" si="4"/>
        <v>499999.995</v>
      </c>
      <c r="I6" s="226"/>
      <c r="J6" s="226">
        <v>4</v>
      </c>
      <c r="K6" s="228">
        <f t="shared" si="5"/>
        <v>32790.617476816937</v>
      </c>
      <c r="L6" s="229">
        <v>0</v>
      </c>
      <c r="M6" s="230">
        <v>0</v>
      </c>
      <c r="N6" s="226">
        <v>9090.9089999999997</v>
      </c>
    </row>
    <row r="7" spans="1:14" x14ac:dyDescent="0.2">
      <c r="A7" s="226" t="s">
        <v>98</v>
      </c>
      <c r="B7" s="226">
        <v>454545.45</v>
      </c>
      <c r="C7" s="226">
        <v>12</v>
      </c>
      <c r="D7" s="227">
        <v>0.47989999999999999</v>
      </c>
      <c r="E7" s="227">
        <v>0.1</v>
      </c>
      <c r="F7" s="227">
        <v>0</v>
      </c>
      <c r="G7" s="226" t="str">
        <f t="shared" si="3"/>
        <v>max. 454545,45 грн.</v>
      </c>
      <c r="H7" s="226">
        <f t="shared" si="4"/>
        <v>499999.995</v>
      </c>
      <c r="I7" s="226"/>
      <c r="J7" s="226">
        <v>6</v>
      </c>
      <c r="K7" s="228">
        <f t="shared" si="5"/>
        <v>53273.509828830385</v>
      </c>
      <c r="L7" s="229">
        <v>0</v>
      </c>
      <c r="M7" s="230">
        <v>0</v>
      </c>
      <c r="N7" s="226">
        <v>9090.9089999999997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5"/>
  <sheetViews>
    <sheetView zoomScale="70" zoomScaleNormal="70" workbookViewId="0">
      <selection activeCell="A21" sqref="A2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314" t="s">
        <v>21</v>
      </c>
      <c r="B1" s="315"/>
      <c r="C1" s="315"/>
      <c r="D1" s="316"/>
      <c r="E1" s="80">
        <v>5000</v>
      </c>
      <c r="F1" s="81" t="s">
        <v>16</v>
      </c>
      <c r="G1" s="81" t="s">
        <v>15</v>
      </c>
    </row>
    <row r="2" spans="1:8" x14ac:dyDescent="0.2">
      <c r="A2" s="82"/>
      <c r="B2" s="4"/>
      <c r="C2" s="82"/>
      <c r="D2" s="4"/>
      <c r="E2" s="83"/>
      <c r="F2" s="84"/>
      <c r="G2" s="49"/>
      <c r="H2" s="4"/>
    </row>
    <row r="3" spans="1:8" x14ac:dyDescent="0.2">
      <c r="A3" s="309" t="s">
        <v>91</v>
      </c>
      <c r="B3" s="310"/>
      <c r="C3" s="310"/>
      <c r="D3" s="311"/>
      <c r="E3" s="7"/>
      <c r="F3" s="8"/>
      <c r="G3" s="7"/>
    </row>
    <row r="4" spans="1:8" x14ac:dyDescent="0.2">
      <c r="A4" s="58"/>
      <c r="B4" s="58"/>
      <c r="C4" s="58"/>
      <c r="D4" s="58"/>
      <c r="E4" s="86"/>
      <c r="F4" s="190"/>
      <c r="G4" s="86"/>
    </row>
    <row r="5" spans="1:8" x14ac:dyDescent="0.2">
      <c r="A5" s="309" t="s">
        <v>92</v>
      </c>
      <c r="B5" s="310"/>
      <c r="C5" s="310"/>
      <c r="D5" s="311"/>
      <c r="E5" s="7"/>
      <c r="F5" s="8"/>
      <c r="G5" s="7"/>
    </row>
    <row r="6" spans="1:8" x14ac:dyDescent="0.2">
      <c r="A6" s="82"/>
      <c r="B6" s="4"/>
      <c r="C6" s="82"/>
      <c r="D6" s="4"/>
      <c r="E6" s="86"/>
      <c r="F6" s="84"/>
      <c r="G6" s="49"/>
      <c r="H6" s="4"/>
    </row>
    <row r="7" spans="1:8" x14ac:dyDescent="0.2">
      <c r="A7" s="309" t="s">
        <v>71</v>
      </c>
      <c r="B7" s="310"/>
      <c r="C7" s="310"/>
      <c r="D7" s="311"/>
      <c r="E7" s="7"/>
      <c r="F7" s="8"/>
      <c r="G7" s="8"/>
    </row>
    <row r="8" spans="1:8" x14ac:dyDescent="0.2">
      <c r="A8" s="82"/>
      <c r="B8" s="4"/>
      <c r="C8" s="82"/>
      <c r="D8" s="4"/>
      <c r="E8" s="87"/>
      <c r="F8" s="84"/>
      <c r="G8" s="49"/>
      <c r="H8" s="4"/>
    </row>
    <row r="9" spans="1:8" x14ac:dyDescent="0.2">
      <c r="A9" s="309" t="s">
        <v>72</v>
      </c>
      <c r="B9" s="310"/>
      <c r="C9" s="310"/>
      <c r="D9" s="311"/>
      <c r="E9" s="7"/>
      <c r="F9" s="8"/>
      <c r="G9" s="8"/>
    </row>
    <row r="10" spans="1:8" x14ac:dyDescent="0.2">
      <c r="A10" s="82"/>
      <c r="B10" s="4"/>
      <c r="C10" s="82"/>
      <c r="D10" s="4"/>
      <c r="E10" s="86"/>
      <c r="F10" s="84"/>
      <c r="G10" s="49"/>
      <c r="H10" s="4"/>
    </row>
    <row r="11" spans="1:8" x14ac:dyDescent="0.2">
      <c r="A11" s="309" t="s">
        <v>85</v>
      </c>
      <c r="B11" s="310"/>
      <c r="C11" s="310"/>
      <c r="D11" s="311"/>
      <c r="E11" s="88"/>
      <c r="F11" s="8"/>
      <c r="G11" s="8"/>
    </row>
    <row r="12" spans="1:8" x14ac:dyDescent="0.2">
      <c r="A12" s="89"/>
      <c r="B12" s="12"/>
      <c r="C12" s="89"/>
      <c r="D12" s="90"/>
      <c r="E12" s="55"/>
      <c r="F12" s="84"/>
      <c r="G12" s="91"/>
      <c r="H12" s="12"/>
    </row>
    <row r="13" spans="1:8" x14ac:dyDescent="0.2">
      <c r="A13" s="89"/>
      <c r="B13" s="12"/>
      <c r="C13" s="89"/>
      <c r="D13" s="92"/>
      <c r="E13" s="55"/>
      <c r="F13" s="84"/>
      <c r="G13" s="91"/>
      <c r="H13" s="12"/>
    </row>
    <row r="14" spans="1:8" x14ac:dyDescent="0.2">
      <c r="A14" s="309" t="s">
        <v>84</v>
      </c>
      <c r="B14" s="310"/>
      <c r="C14" s="310"/>
      <c r="D14" s="311"/>
      <c r="E14" s="13"/>
      <c r="F14" s="13"/>
      <c r="G14" s="14"/>
      <c r="H14" s="12"/>
    </row>
    <row r="15" spans="1:8" x14ac:dyDescent="0.2">
      <c r="A15" s="58"/>
      <c r="B15" s="58"/>
      <c r="C15" s="58"/>
      <c r="D15" s="58"/>
      <c r="E15" s="93"/>
      <c r="F15" s="94"/>
      <c r="G15" s="95"/>
      <c r="H15" s="12"/>
    </row>
    <row r="16" spans="1:8" x14ac:dyDescent="0.2">
      <c r="A16" s="309" t="s">
        <v>78</v>
      </c>
      <c r="B16" s="310"/>
      <c r="C16" s="310"/>
      <c r="D16" s="311"/>
      <c r="E16" s="78"/>
      <c r="F16" s="79"/>
      <c r="G16" s="14"/>
      <c r="H16" s="12"/>
    </row>
    <row r="17" spans="1:8" x14ac:dyDescent="0.2">
      <c r="A17" s="85"/>
      <c r="B17" s="85"/>
      <c r="C17" s="85"/>
      <c r="D17" s="85"/>
      <c r="E17" s="96"/>
      <c r="F17" s="94"/>
      <c r="G17" s="95"/>
      <c r="H17" s="12"/>
    </row>
    <row r="18" spans="1:8" x14ac:dyDescent="0.2">
      <c r="A18" s="309" t="s">
        <v>83</v>
      </c>
      <c r="B18" s="310"/>
      <c r="C18" s="310"/>
      <c r="D18" s="311"/>
      <c r="E18" s="21"/>
      <c r="F18" s="8"/>
      <c r="G18" s="8"/>
      <c r="H18" s="12"/>
    </row>
    <row r="19" spans="1:8" x14ac:dyDescent="0.2">
      <c r="A19" s="58"/>
      <c r="B19" s="58"/>
      <c r="C19" s="58"/>
      <c r="D19" s="58"/>
      <c r="E19" s="189"/>
      <c r="F19" s="190"/>
      <c r="G19" s="190"/>
      <c r="H19" s="12"/>
    </row>
    <row r="20" spans="1:8" x14ac:dyDescent="0.2">
      <c r="A20" s="58" t="s">
        <v>94</v>
      </c>
      <c r="B20" s="58"/>
      <c r="C20" s="58"/>
      <c r="D20" s="58"/>
      <c r="E20" s="189"/>
      <c r="F20" s="190"/>
      <c r="G20" s="190"/>
      <c r="H20" s="12"/>
    </row>
    <row r="21" spans="1:8" x14ac:dyDescent="0.2">
      <c r="A21" s="58"/>
      <c r="B21" s="58"/>
      <c r="C21" s="58"/>
      <c r="D21" s="58"/>
      <c r="E21" s="86"/>
      <c r="F21" s="94"/>
      <c r="G21" s="95"/>
      <c r="H21" s="12"/>
    </row>
    <row r="22" spans="1:8" ht="33.75" x14ac:dyDescent="0.2">
      <c r="A22" s="312" t="s">
        <v>7</v>
      </c>
      <c r="B22" s="313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">
      <c r="A23" s="266" t="s">
        <v>24</v>
      </c>
      <c r="B23" s="267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">
      <c r="A24" s="266" t="s">
        <v>8</v>
      </c>
      <c r="B24" s="267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">
      <c r="A25" s="266" t="s">
        <v>22</v>
      </c>
      <c r="B25" s="267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">
      <c r="A26" s="266" t="s">
        <v>23</v>
      </c>
      <c r="B26" s="267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">
      <c r="A27" s="82"/>
      <c r="B27" s="58"/>
      <c r="C27" s="82"/>
      <c r="D27" s="100"/>
      <c r="E27" s="4"/>
      <c r="F27" s="49"/>
      <c r="G27" s="84"/>
      <c r="H27" s="4"/>
    </row>
    <row r="28" spans="1:8" ht="13.5" thickBot="1" x14ac:dyDescent="0.25">
      <c r="A28" s="101"/>
      <c r="B28" s="58"/>
      <c r="C28" s="101"/>
      <c r="D28" s="102"/>
      <c r="E28" s="103"/>
      <c r="F28" s="95"/>
      <c r="G28" s="94"/>
      <c r="H28" s="12"/>
    </row>
    <row r="29" spans="1:8" ht="18.75" thickBot="1" x14ac:dyDescent="0.25">
      <c r="A29" s="307" t="s">
        <v>77</v>
      </c>
      <c r="B29" s="308"/>
      <c r="C29" s="308"/>
      <c r="D29" s="308"/>
      <c r="E29" s="308"/>
      <c r="F29" s="308"/>
      <c r="G29" s="220"/>
    </row>
    <row r="30" spans="1:8" ht="45.75" thickBot="1" x14ac:dyDescent="0.25">
      <c r="A30" s="303" t="s">
        <v>4</v>
      </c>
      <c r="B30" s="304"/>
      <c r="C30" s="104" t="s">
        <v>75</v>
      </c>
      <c r="D30" s="104" t="s">
        <v>73</v>
      </c>
      <c r="E30" s="104" t="s">
        <v>74</v>
      </c>
      <c r="F30" s="305" t="s">
        <v>76</v>
      </c>
      <c r="G30" s="306"/>
    </row>
    <row r="31" spans="1:8" x14ac:dyDescent="0.2">
      <c r="A31" s="4"/>
      <c r="B31" s="4"/>
      <c r="C31" s="4"/>
      <c r="D31" s="4"/>
      <c r="E31" s="4"/>
      <c r="F31" s="49"/>
      <c r="G31" s="84"/>
    </row>
    <row r="32" spans="1:8" x14ac:dyDescent="0.2">
      <c r="A32" s="4" t="s">
        <v>5</v>
      </c>
      <c r="B32" s="105"/>
      <c r="C32" s="106"/>
      <c r="D32" s="302"/>
      <c r="E32" s="302"/>
      <c r="F32" s="302"/>
      <c r="G32" s="84"/>
    </row>
    <row r="33" spans="1:7" x14ac:dyDescent="0.2">
      <c r="A33" s="4" t="s">
        <v>6</v>
      </c>
      <c r="B33" s="107"/>
      <c r="C33" s="4"/>
      <c r="D33" s="40"/>
      <c r="E33" s="41"/>
      <c r="F33" s="108"/>
      <c r="G33" s="84"/>
    </row>
    <row r="35" spans="1:7" x14ac:dyDescent="0.2">
      <c r="A35" t="s">
        <v>35</v>
      </c>
      <c r="B35">
        <v>30.4</v>
      </c>
    </row>
  </sheetData>
  <sheetProtection selectLockedCells="1"/>
  <mergeCells count="18"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  <mergeCell ref="A23:B23"/>
    <mergeCell ref="A24:B24"/>
    <mergeCell ref="D32:F32"/>
    <mergeCell ref="A26:B26"/>
    <mergeCell ref="A30:B30"/>
    <mergeCell ref="F30:G30"/>
    <mergeCell ref="A25:B25"/>
    <mergeCell ref="A29:F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"/>
  <sheetViews>
    <sheetView zoomScale="85" zoomScaleNormal="85" workbookViewId="0">
      <selection activeCell="G12" sqref="G12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9" t="s">
        <v>93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1" t="s">
        <v>86</v>
      </c>
      <c r="B4" s="221">
        <v>50000</v>
      </c>
      <c r="C4" s="221">
        <v>36</v>
      </c>
      <c r="D4" s="222">
        <v>0.66990000000000005</v>
      </c>
      <c r="E4" s="222">
        <v>0.15</v>
      </c>
      <c r="F4" s="222">
        <v>0</v>
      </c>
      <c r="G4" s="221" t="s">
        <v>87</v>
      </c>
      <c r="H4" s="221">
        <v>57500</v>
      </c>
      <c r="I4" s="221"/>
      <c r="J4" s="221">
        <v>1</v>
      </c>
      <c r="K4" s="223">
        <v>3738.9128907694981</v>
      </c>
      <c r="L4" s="224">
        <v>0</v>
      </c>
      <c r="M4" s="225">
        <v>0</v>
      </c>
      <c r="N4" s="221">
        <v>1000</v>
      </c>
    </row>
    <row r="5" spans="1:15" x14ac:dyDescent="0.2">
      <c r="A5" s="221" t="s">
        <v>88</v>
      </c>
      <c r="B5" s="221">
        <v>50000</v>
      </c>
      <c r="C5" s="221">
        <v>24</v>
      </c>
      <c r="D5" s="222">
        <v>0.61990000000000001</v>
      </c>
      <c r="E5" s="222">
        <v>0.15</v>
      </c>
      <c r="F5" s="222">
        <v>0</v>
      </c>
      <c r="G5" s="221" t="s">
        <v>87</v>
      </c>
      <c r="H5" s="221">
        <v>57500</v>
      </c>
      <c r="I5" s="221"/>
      <c r="J5" s="221">
        <v>1</v>
      </c>
      <c r="K5" s="223">
        <v>4234.5536931619117</v>
      </c>
      <c r="L5" s="224">
        <v>0</v>
      </c>
      <c r="M5" s="225">
        <v>0</v>
      </c>
      <c r="N5" s="221">
        <v>1000</v>
      </c>
    </row>
    <row r="6" spans="1:15" x14ac:dyDescent="0.2">
      <c r="A6" s="221" t="s">
        <v>89</v>
      </c>
      <c r="B6" s="221">
        <v>50000</v>
      </c>
      <c r="C6" s="221">
        <v>18</v>
      </c>
      <c r="D6" s="222">
        <v>0.57989999999999997</v>
      </c>
      <c r="E6" s="222">
        <v>0.15</v>
      </c>
      <c r="F6" s="222">
        <v>0</v>
      </c>
      <c r="G6" s="221" t="s">
        <v>87</v>
      </c>
      <c r="H6" s="221">
        <v>57500</v>
      </c>
      <c r="I6" s="221"/>
      <c r="J6" s="221">
        <v>1</v>
      </c>
      <c r="K6" s="223">
        <v>4854.7456270945513</v>
      </c>
      <c r="L6" s="224">
        <v>0</v>
      </c>
      <c r="M6" s="225">
        <v>0</v>
      </c>
      <c r="N6" s="221">
        <v>1000</v>
      </c>
    </row>
    <row r="7" spans="1:15" x14ac:dyDescent="0.2">
      <c r="A7" s="221" t="s">
        <v>90</v>
      </c>
      <c r="B7" s="221">
        <v>50000</v>
      </c>
      <c r="C7" s="221">
        <v>12</v>
      </c>
      <c r="D7" s="222">
        <v>0.49990000000000001</v>
      </c>
      <c r="E7" s="222">
        <v>0.15</v>
      </c>
      <c r="F7" s="222">
        <v>0</v>
      </c>
      <c r="G7" s="221" t="s">
        <v>87</v>
      </c>
      <c r="H7" s="221">
        <v>57500</v>
      </c>
      <c r="I7" s="221"/>
      <c r="J7" s="221">
        <v>1</v>
      </c>
      <c r="K7" s="223">
        <v>6185.8466183236624</v>
      </c>
      <c r="L7" s="224">
        <v>0</v>
      </c>
      <c r="M7" s="225">
        <v>0</v>
      </c>
      <c r="N7" s="221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8</vt:i4>
      </vt:variant>
    </vt:vector>
  </HeadingPairs>
  <TitlesOfParts>
    <vt:vector size="19" baseType="lpstr">
      <vt:lpstr>Головна</vt:lpstr>
      <vt:lpstr>Простий</vt:lpstr>
      <vt:lpstr>BIG CASH</vt:lpstr>
      <vt:lpstr>Пенсійний</vt:lpstr>
      <vt:lpstr>Від 1 000 до 29 999</vt:lpstr>
      <vt:lpstr>Вигідний_зі знижкою-10%</vt:lpstr>
      <vt:lpstr>Стабільний СК</vt:lpstr>
      <vt:lpstr>Від 200 000 до 500 000</vt:lpstr>
      <vt:lpstr>Лист2</vt:lpstr>
      <vt:lpstr>Назви</vt:lpstr>
      <vt:lpstr>Лист3</vt:lpstr>
      <vt:lpstr>'BIG CASH'!Область_друку</vt:lpstr>
      <vt:lpstr>'Вигідний_зі знижкою-10%'!Область_друку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Пенсійний!Область_друку</vt:lpstr>
      <vt:lpstr>Простий!Область_друку</vt:lpstr>
      <vt:lpstr>'Стабільний СК'!Область_друку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2025-09-12T11:51:50Z</dcterms:modified>
</cp:coreProperties>
</file>